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actionsh.sharepoint.com/Masters/Masters/Masters/Report masters/General policy/Data Tools/Public Opinion Briefings/"/>
    </mc:Choice>
  </mc:AlternateContent>
  <xr:revisionPtr revIDLastSave="966" documentId="8_{51ACE51C-01A5-41DE-8F3E-DAFAD4EEF0F8}" xr6:coauthVersionLast="47" xr6:coauthVersionMax="47" xr10:uidLastSave="{0908A4A8-8DC6-4DD7-BE83-26AB3685DD62}"/>
  <bookViews>
    <workbookView xWindow="-108" yWindow="-108" windowWidth="23256" windowHeight="12576" xr2:uid="{00000000-000D-0000-FFFF-FFFF00000000}"/>
  </bookViews>
  <sheets>
    <sheet name="ASH Public Opinion Briefings" sheetId="43" r:id="rId1"/>
    <sheet name="Get Pivot" sheetId="37" state="veryHidden" r:id="rId2"/>
    <sheet name="Pivot 1" sheetId="42" state="veryHidden" r:id="rId3"/>
    <sheet name="Sheet1" sheetId="47" state="veryHidden" r:id="rId4"/>
  </sheets>
  <definedNames>
    <definedName name="_xlnm._FilterDatabase" localSheetId="3" hidden="1">Sheet1!$CS$15:$CU$15</definedName>
    <definedName name="_Sort" hidden="1">#REF!</definedName>
    <definedName name="ExternalData_1" localSheetId="3" hidden="1">Sheet1!$A$1:$CZ$12</definedName>
    <definedName name="F"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'ASH Public Opinion Briefings'!$A$1:$M$250</definedName>
    <definedName name="Slicer_Region">#N/A</definedName>
  </definedNames>
  <calcPr calcId="191029"/>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37" l="1"/>
  <c r="A54" i="37" s="1"/>
  <c r="D19" i="37"/>
  <c r="B64" i="37"/>
  <c r="C34" i="37"/>
  <c r="E16" i="37"/>
  <c r="C50" i="37"/>
  <c r="C64" i="37"/>
  <c r="G15" i="37"/>
  <c r="B65" i="37"/>
  <c r="C54" i="37"/>
  <c r="G19" i="37"/>
  <c r="F13" i="37"/>
  <c r="F24" i="37"/>
  <c r="C33" i="37"/>
  <c r="D23" i="37"/>
  <c r="C43" i="37"/>
  <c r="F20" i="37"/>
  <c r="D14" i="37"/>
  <c r="F16" i="37"/>
  <c r="B63" i="37"/>
  <c r="B37" i="37"/>
  <c r="G13" i="37"/>
  <c r="B34" i="37"/>
  <c r="B45" i="37"/>
  <c r="G12" i="37"/>
  <c r="C65" i="37"/>
  <c r="G17" i="37"/>
  <c r="C30" i="37"/>
  <c r="B48" i="37"/>
  <c r="G20" i="37"/>
  <c r="E23" i="37"/>
  <c r="B30" i="37"/>
  <c r="D12" i="37"/>
  <c r="C63" i="37"/>
  <c r="F25" i="37"/>
  <c r="G23" i="37"/>
  <c r="E15" i="37"/>
  <c r="D18" i="37"/>
  <c r="C41" i="37"/>
  <c r="G26" i="37"/>
  <c r="B62" i="37"/>
  <c r="B50" i="37"/>
  <c r="E25" i="37"/>
  <c r="C62" i="37"/>
  <c r="F12" i="37"/>
  <c r="B38" i="37"/>
  <c r="G18" i="37"/>
  <c r="B53" i="37"/>
  <c r="B33" i="37"/>
  <c r="D21" i="37"/>
  <c r="D16" i="37"/>
  <c r="C38" i="37"/>
  <c r="F18" i="37"/>
  <c r="G8" i="37"/>
  <c r="C37" i="37"/>
  <c r="F22" i="37"/>
  <c r="F15" i="37"/>
  <c r="F17" i="37"/>
  <c r="D22" i="37"/>
  <c r="G22" i="37"/>
  <c r="D13" i="37"/>
  <c r="E18" i="37"/>
  <c r="B41" i="37"/>
  <c r="D26" i="37"/>
  <c r="F21" i="37"/>
  <c r="C44" i="37"/>
  <c r="C45" i="37"/>
  <c r="F23" i="37"/>
  <c r="D27" i="37"/>
  <c r="E14" i="37"/>
  <c r="F26" i="37"/>
  <c r="D25" i="37"/>
  <c r="F27" i="37"/>
  <c r="G16" i="37"/>
  <c r="B43" i="37"/>
  <c r="F19" i="37"/>
  <c r="E21" i="37"/>
  <c r="C53" i="37"/>
  <c r="E19" i="37"/>
  <c r="G25" i="37"/>
  <c r="C49" i="37"/>
  <c r="G21" i="37"/>
  <c r="E20" i="37"/>
  <c r="E27" i="37"/>
  <c r="B49" i="37"/>
  <c r="E12" i="37"/>
  <c r="G27" i="37"/>
  <c r="B54" i="37"/>
  <c r="E17" i="37"/>
  <c r="D17" i="37"/>
  <c r="F14" i="37"/>
  <c r="G24" i="37"/>
  <c r="B44" i="37"/>
  <c r="E26" i="37"/>
  <c r="D30" i="37"/>
  <c r="D20" i="37"/>
  <c r="E22" i="37"/>
  <c r="D15" i="37"/>
  <c r="E24" i="37"/>
  <c r="G14" i="37"/>
  <c r="E13" i="37"/>
  <c r="D24" i="37"/>
  <c r="C48" i="37"/>
  <c r="H54" i="37" l="1"/>
  <c r="C210" i="43" s="1"/>
  <c r="H38" i="37"/>
  <c r="C62" i="43" s="1"/>
  <c r="H48" i="37"/>
  <c r="A49" i="37"/>
  <c r="A50" i="37"/>
  <c r="A48" i="37"/>
  <c r="A38" i="37"/>
  <c r="A42" i="37"/>
  <c r="A41" i="37"/>
  <c r="A37" i="37"/>
  <c r="A45" i="37"/>
  <c r="A33" i="37"/>
  <c r="A34" i="37"/>
  <c r="A30" i="37"/>
  <c r="A44" i="37"/>
  <c r="A53" i="37"/>
  <c r="A43" i="37"/>
  <c r="C1" i="37"/>
  <c r="H4" i="37" s="1"/>
  <c r="H53" i="37"/>
  <c r="C197" i="43" s="1"/>
  <c r="C34" i="43"/>
  <c r="H37" i="37" l="1"/>
  <c r="H3" i="37"/>
  <c r="B3" i="43" s="1"/>
  <c r="H45" i="37"/>
  <c r="C135" i="43" s="1"/>
  <c r="H50" i="37"/>
  <c r="C181" i="43" s="1"/>
  <c r="H63" i="37"/>
  <c r="C234" i="43" s="1"/>
  <c r="B6" i="43"/>
  <c r="H34" i="37"/>
  <c r="C8" i="43" s="1"/>
  <c r="H8" i="37"/>
  <c r="C242" i="43" s="1"/>
  <c r="H61" i="37"/>
  <c r="C216" i="43" s="1"/>
  <c r="H41" i="37"/>
  <c r="C91" i="43" s="1"/>
  <c r="H49" i="37"/>
  <c r="C166" i="43" s="1"/>
  <c r="H30" i="37"/>
  <c r="H6" i="37" s="1"/>
  <c r="C10" i="43" s="1"/>
  <c r="C49" i="43"/>
  <c r="H44" i="37"/>
  <c r="C151" i="43"/>
  <c r="H43" i="37"/>
  <c r="C105" i="43" s="1"/>
  <c r="H7" i="37"/>
  <c r="C42" i="37"/>
  <c r="B42" i="37"/>
  <c r="C12" i="43" l="1"/>
  <c r="H42" i="37"/>
  <c r="C78" i="43" s="1"/>
  <c r="C120" i="4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509FA12-DF5E-4F18-AF81-D109BAC49C49}" keepAlive="1" name="Query - T1" description="Connection to the 'T1' query in the workbook." type="5" refreshedVersion="8" background="1" saveData="1">
    <dbPr connection="Provider=Microsoft.Mashup.OleDb.1;Data Source=$Workbook$;Location=T1;Extended Properties=&quot;&quot;" command="SELECT * FROM [T1]"/>
  </connection>
  <connection id="2" xr16:uid="{C1EA2C8C-4D2F-43A1-9EBA-2DBBB4646AD2}" keepAlive="1" name="Query - T1 (2)" description="Connection to the 'T1 (2)' query in the workbook." type="5" refreshedVersion="7" background="1" saveData="1">
    <dbPr connection="Provider=Microsoft.Mashup.OleDb.1;Data Source=$Workbook$;Location=&quot;T1 (2)&quot;;Extended Properties=&quot;&quot;" command="SELECT * FROM [T1 (2)]"/>
  </connection>
  <connection id="3" xr16:uid="{15B8ACAF-ADC1-47E9-8F2B-38A12B8D6AF1}" keepAlive="1" name="Query - T1 (3)" description="Connection to the 'T1 (3)' query in the workbook." type="5" refreshedVersion="7" background="1" saveData="1">
    <dbPr connection="Provider=Microsoft.Mashup.OleDb.1;Data Source=$Workbook$;Location=&quot;T1 (3)&quot;;Extended Properties=&quot;&quot;" command="SELECT * FROM [T1 (3)]"/>
  </connection>
  <connection id="4" xr16:uid="{C3919F33-4981-4C9A-86ED-1482D062F15A}" keepAlive="1" name="Query - T1 (4)" description="Connection to the 'T1 (4)' query in the workbook." type="5" refreshedVersion="7" background="1" saveData="1">
    <dbPr connection="Provider=Microsoft.Mashup.OleDb.1;Data Source=$Workbook$;Location=&quot;T1 (4)&quot;;Extended Properties=&quot;&quot;" command="SELECT * FROM [T1 (4)]"/>
  </connection>
</connections>
</file>

<file path=xl/sharedStrings.xml><?xml version="1.0" encoding="utf-8"?>
<sst xmlns="http://schemas.openxmlformats.org/spreadsheetml/2006/main" count="314" uniqueCount="283">
  <si>
    <t>East Midlands</t>
  </si>
  <si>
    <t>Row Labels</t>
  </si>
  <si>
    <t>Grand Total</t>
  </si>
  <si>
    <t>Sum of Gov't activities to limit smoking (Not enough)</t>
  </si>
  <si>
    <t>Sum of Gov't activities to limit smoking (Too much)</t>
  </si>
  <si>
    <t>Support</t>
  </si>
  <si>
    <t>Oppose</t>
  </si>
  <si>
    <t>Sum of protecting health policy from influence of tobacco (Support)</t>
  </si>
  <si>
    <t>Sum of protecting health policy from influence of tobacco (Oppose)</t>
  </si>
  <si>
    <t>Sum of Requiring businesses to have a valid licence to sell tobacco (Support)</t>
  </si>
  <si>
    <t>Sum of Requiring businesses to have a valid licence to sell tobacco (Oppose)</t>
  </si>
  <si>
    <t>Sum of  Requiring tobacco manufacturers to pay a levy to Government (Support)</t>
  </si>
  <si>
    <t>Sum of  Requiring tobacco manufacturers to pay a levy to Government (Oppose)</t>
  </si>
  <si>
    <t>Sum of Require cigarette packs to include inserts with Government information about quitting (Support)</t>
  </si>
  <si>
    <t>Sum of Require cigarette packs to include inserts with Government information about quitting (Oppose)</t>
  </si>
  <si>
    <t xml:space="preserve">Too Much </t>
  </si>
  <si>
    <t>Not Enough</t>
  </si>
  <si>
    <t>Area Selected</t>
  </si>
  <si>
    <t>TEXT(B8,"0.0%")</t>
  </si>
  <si>
    <t>Pack inserts</t>
  </si>
  <si>
    <t>Title</t>
  </si>
  <si>
    <t>References</t>
  </si>
  <si>
    <t>Heading</t>
  </si>
  <si>
    <t>Tobacco retail licensing</t>
  </si>
  <si>
    <t>Health warnings on cigarettes</t>
  </si>
  <si>
    <t>Sum of Health warnings printed on cigarette sticks to encourage smokers to quit (Oppose)</t>
  </si>
  <si>
    <t>Sum of Health warnings printed on cigarette sticks to encourage smokers to quit (Support)</t>
  </si>
  <si>
    <t>Gov't activities to limit smoking (About Right)</t>
  </si>
  <si>
    <t>Gov't activities to limit smoking (About Right or Not Enough)</t>
  </si>
  <si>
    <t>Sum of Gov't activities to limit smoking (About Right)</t>
  </si>
  <si>
    <t>Sum of Gov't activities to limit smoking (About Right or Not Enough)</t>
  </si>
  <si>
    <t>About Right or Not Enough</t>
  </si>
  <si>
    <t>Sum of Banning names of sweets, cartoons, and bright colours on e-cigarette packaging (Support)</t>
  </si>
  <si>
    <t>Sum of Banning names of sweets, cartoons, and bright colours on e-cigarette packaging (Oppose)</t>
  </si>
  <si>
    <t>Sample size for region</t>
  </si>
  <si>
    <t>Sample size</t>
  </si>
  <si>
    <t>Sum of Sample size</t>
  </si>
  <si>
    <t>Too Much</t>
  </si>
  <si>
    <t>About Right</t>
  </si>
  <si>
    <t>Don't Know</t>
  </si>
  <si>
    <t>TM2013</t>
  </si>
  <si>
    <t>TM2014</t>
  </si>
  <si>
    <t>TM2015</t>
  </si>
  <si>
    <t>TM2016</t>
  </si>
  <si>
    <t>TM2017</t>
  </si>
  <si>
    <t>TM2018</t>
  </si>
  <si>
    <t>TM2019</t>
  </si>
  <si>
    <t>TM2020</t>
  </si>
  <si>
    <t>TM2021</t>
  </si>
  <si>
    <t>TM2022</t>
  </si>
  <si>
    <t>AR2013</t>
  </si>
  <si>
    <t>AR2014</t>
  </si>
  <si>
    <t>AR2015</t>
  </si>
  <si>
    <t>AR2016</t>
  </si>
  <si>
    <t>AR2017</t>
  </si>
  <si>
    <t>AR2018</t>
  </si>
  <si>
    <t>AR2019</t>
  </si>
  <si>
    <t>AR2020</t>
  </si>
  <si>
    <t>AR2021</t>
  </si>
  <si>
    <t>AR2022</t>
  </si>
  <si>
    <t>NE2013</t>
  </si>
  <si>
    <t>NE2014</t>
  </si>
  <si>
    <t>NE2015</t>
  </si>
  <si>
    <t>NE2016</t>
  </si>
  <si>
    <t>NE2017</t>
  </si>
  <si>
    <t>NE2018</t>
  </si>
  <si>
    <t>NE2019</t>
  </si>
  <si>
    <t>NE2020</t>
  </si>
  <si>
    <t>NE2021</t>
  </si>
  <si>
    <t>NE2022</t>
  </si>
  <si>
    <t>DK2013</t>
  </si>
  <si>
    <t>DK2014</t>
  </si>
  <si>
    <t>DK2015</t>
  </si>
  <si>
    <t>DK2016</t>
  </si>
  <si>
    <t>DK2017</t>
  </si>
  <si>
    <t>DK2018</t>
  </si>
  <si>
    <t>DK2019</t>
  </si>
  <si>
    <t>DK2020</t>
  </si>
  <si>
    <t>DK2021</t>
  </si>
  <si>
    <t>DK2022</t>
  </si>
  <si>
    <t>Sum of TM2013</t>
  </si>
  <si>
    <t>Sum of TM2014</t>
  </si>
  <si>
    <t>Sum of TM2015</t>
  </si>
  <si>
    <t>Sum of TM2016</t>
  </si>
  <si>
    <t>Sum of TM2017</t>
  </si>
  <si>
    <t>Sum of TM2018</t>
  </si>
  <si>
    <t>Sum of TM2019</t>
  </si>
  <si>
    <t>Sum of TM2020</t>
  </si>
  <si>
    <t>Sum of TM2021</t>
  </si>
  <si>
    <t>Sum of TM2022</t>
  </si>
  <si>
    <t>Sum of AR2013</t>
  </si>
  <si>
    <t>Sum of AR2014</t>
  </si>
  <si>
    <t>Sum of AR2015</t>
  </si>
  <si>
    <t>Sum of AR2016</t>
  </si>
  <si>
    <t>Sum of AR2017</t>
  </si>
  <si>
    <t>Sum of AR2018</t>
  </si>
  <si>
    <t>Sum of AR2019</t>
  </si>
  <si>
    <t>Sum of AR2020</t>
  </si>
  <si>
    <t>Sum of AR2021</t>
  </si>
  <si>
    <t>Sum of AR2022</t>
  </si>
  <si>
    <t>Sum of NE2013</t>
  </si>
  <si>
    <t>Sum of NE2014</t>
  </si>
  <si>
    <t>Sum of NE2015</t>
  </si>
  <si>
    <t>Sum of NE2016</t>
  </si>
  <si>
    <t>Sum of NE2017</t>
  </si>
  <si>
    <t>Sum of NE2018</t>
  </si>
  <si>
    <t>Sum of NE2019</t>
  </si>
  <si>
    <t>Sum of NE2020</t>
  </si>
  <si>
    <t>Sum of NE2021</t>
  </si>
  <si>
    <t>Sum of NE2022</t>
  </si>
  <si>
    <t>Sum of DK2013</t>
  </si>
  <si>
    <t>Sum of DK2014</t>
  </si>
  <si>
    <t>Sum of DK2015</t>
  </si>
  <si>
    <t>Sum of DK2016</t>
  </si>
  <si>
    <t>Sum of DK2017</t>
  </si>
  <si>
    <t>Sum of DK2018</t>
  </si>
  <si>
    <t>Sum of DK2019</t>
  </si>
  <si>
    <t>Sum of DK2020</t>
  </si>
  <si>
    <t>Sum of DK2021</t>
  </si>
  <si>
    <t>Sum of DK2022</t>
  </si>
  <si>
    <t>Table for line graph</t>
  </si>
  <si>
    <t>Line graph title</t>
  </si>
  <si>
    <t>Region</t>
  </si>
  <si>
    <t>Gov't activities to limit smoking (Too much)</t>
  </si>
  <si>
    <t>Gov't activities to limit smoking (Not enough)</t>
  </si>
  <si>
    <t>protecting health policy from influence of tobacco (Support)</t>
  </si>
  <si>
    <t>protecting health policy from influence of tobacco (Oppose)</t>
  </si>
  <si>
    <t>Requiring businesses to have a valid licence to sell tobacco (Support)</t>
  </si>
  <si>
    <t>Requiring businesses to have a valid licence to sell tobacco (Oppose)</t>
  </si>
  <si>
    <t xml:space="preserve"> Requiring tobacco manufacturers to pay a levy to Government (Support)</t>
  </si>
  <si>
    <t xml:space="preserve"> Requiring tobacco manufacturers to pay a levy to Government (Oppose)</t>
  </si>
  <si>
    <t>Require cigarette packs to include inserts with Government information about quitting (Support)</t>
  </si>
  <si>
    <t>Require cigarette packs to include inserts with Government information about quitting (Oppose)</t>
  </si>
  <si>
    <t xml:space="preserve">  Health warnings printed on cigarette sticks to encourage smokers to quit (Support)</t>
  </si>
  <si>
    <t xml:space="preserve">  Health warnings printed on cigarette sticks to encourage smokers to quit (Support)3</t>
  </si>
  <si>
    <t>Banning names of sweets, cartoons, and bright colours on e-cigarette packaging (Support)</t>
  </si>
  <si>
    <t>Banning names of sweets, cartoons, and bright colours on e-cigarette packaging (Oppose)</t>
  </si>
  <si>
    <t>financial incentives for pregnant women (Support)</t>
  </si>
  <si>
    <t>financial incentives for pregnant women (Oppose)</t>
  </si>
  <si>
    <t>Restaurant pub café smoking ban (Support)</t>
  </si>
  <si>
    <t>Restaurant pub café smoking ban (Oppose)</t>
  </si>
  <si>
    <t>England</t>
  </si>
  <si>
    <t>East of England</t>
  </si>
  <si>
    <t>London</t>
  </si>
  <si>
    <t>North East</t>
  </si>
  <si>
    <t>North West</t>
  </si>
  <si>
    <t>South East</t>
  </si>
  <si>
    <t>South West</t>
  </si>
  <si>
    <t>West Midlands</t>
  </si>
  <si>
    <t>Yorkshire and the Humber</t>
  </si>
  <si>
    <t>AR2010</t>
  </si>
  <si>
    <t>AR2011</t>
  </si>
  <si>
    <t>AR2012</t>
  </si>
  <si>
    <t>TM2010</t>
  </si>
  <si>
    <t>TM2011</t>
  </si>
  <si>
    <t>TM2012</t>
  </si>
  <si>
    <t>NE2010</t>
  </si>
  <si>
    <t>NE2011</t>
  </si>
  <si>
    <t>NE2012</t>
  </si>
  <si>
    <t>DK2010</t>
  </si>
  <si>
    <t>DK2011</t>
  </si>
  <si>
    <t>DK2012</t>
  </si>
  <si>
    <t>Sum of TM2010</t>
  </si>
  <si>
    <t>Sum of TM2011</t>
  </si>
  <si>
    <t>Sum of TM2012</t>
  </si>
  <si>
    <t>Sum of AR2010</t>
  </si>
  <si>
    <t>Sum of AR2011</t>
  </si>
  <si>
    <t>Sum of AR2012</t>
  </si>
  <si>
    <t>Sum of NE2010</t>
  </si>
  <si>
    <t>Sum of NE2011</t>
  </si>
  <si>
    <t>Sum of NE2012</t>
  </si>
  <si>
    <t>Sum of DK2010</t>
  </si>
  <si>
    <t>Sum of DK2011</t>
  </si>
  <si>
    <t>Sum of DK2012</t>
  </si>
  <si>
    <t>University and college campuses</t>
  </si>
  <si>
    <t>Sum of Restaurant pub café smoking ban (Support)</t>
  </si>
  <si>
    <t>Sum of Restaurant pub café smoking ban (Oppose)</t>
  </si>
  <si>
    <t>Outdoor seating in restaurants, pubs and cafes</t>
  </si>
  <si>
    <t>TM2009</t>
  </si>
  <si>
    <t>AR2009</t>
  </si>
  <si>
    <t>NE2009</t>
  </si>
  <si>
    <t>DK2009</t>
  </si>
  <si>
    <t>Sum of TM2009</t>
  </si>
  <si>
    <t>Sum of AR2009</t>
  </si>
  <si>
    <t>Sum of NE2009</t>
  </si>
  <si>
    <t>Sum of DK2009</t>
  </si>
  <si>
    <t>Oppose a ban</t>
  </si>
  <si>
    <t>Support a ban</t>
  </si>
  <si>
    <t>TM2023</t>
  </si>
  <si>
    <t>AR2023</t>
  </si>
  <si>
    <t>NE2023</t>
  </si>
  <si>
    <t>DK2023</t>
  </si>
  <si>
    <t>Sum of TM2023</t>
  </si>
  <si>
    <t>Sum of AR2023</t>
  </si>
  <si>
    <t>Sum of NE2023</t>
  </si>
  <si>
    <t>Sum of DK2023</t>
  </si>
  <si>
    <t>Smoking should be banned in further education colleges (Support)</t>
  </si>
  <si>
    <t>Smoking should be banned in further education colleges (Oppose)</t>
  </si>
  <si>
    <t>Sum of Smoking should be banned in further education colleges (Support)</t>
  </si>
  <si>
    <t>Sum of Smoking should be banned in further education colleges (Oppose)</t>
  </si>
  <si>
    <t>pos advertising ban (Support)</t>
  </si>
  <si>
    <t>pos advertising ban (Oppose)</t>
  </si>
  <si>
    <t>Sum of pos advertising ban (Support)</t>
  </si>
  <si>
    <t>Sum of pos advertising ban (Oppose)</t>
  </si>
  <si>
    <t>FE colleges</t>
  </si>
  <si>
    <t>Smoking should be banned on university and college campuses (Oppose)</t>
  </si>
  <si>
    <t>Smoking should be banned on university and college campuses (Support)</t>
  </si>
  <si>
    <t>Sum of Smoking should be banned on university and college campuses (Oppose)</t>
  </si>
  <si>
    <t>Sum of Smoking should be banned on university and college campuses (Support)</t>
  </si>
  <si>
    <t>Increasing the age of sale every year</t>
  </si>
  <si>
    <t>ageup (Support)</t>
  </si>
  <si>
    <t>ageup (Oppose)</t>
  </si>
  <si>
    <t>Sum of ageup (Support)</t>
  </si>
  <si>
    <t>Sum of ageup (Oppose)</t>
  </si>
  <si>
    <t>declare (Support)</t>
  </si>
  <si>
    <t>declare (Oppose)</t>
  </si>
  <si>
    <t>Sum of declare (Support)</t>
  </si>
  <si>
    <t>Sum of declare (Oppose)</t>
  </si>
  <si>
    <t>Sum of financial incentives for pregnant women (Support)</t>
  </si>
  <si>
    <t>Sum of financial incentives for pregnant women (Oppose)</t>
  </si>
  <si>
    <t>Note: All figures exclude 'don't know' responses, so percentages will not sum to 100%</t>
  </si>
  <si>
    <t>Financial incentives for pregnant smokers to quit</t>
  </si>
  <si>
    <t>Support for banning smoking in more public outdoor areas</t>
  </si>
  <si>
    <t>Chamberlain C, O'Mara-Eves A, Oliver S, Caird JR, Perlen SM, Eades SJ, Thomas J. Psychosocial interventions for supporting women to stop smoking in pregnancy. Cochrane Database of Systematic Reviews 2013, Issue 10.</t>
  </si>
  <si>
    <t>Available from: https://www.cochranelibrary.com/cdsr/doi/10.1002/14651858.CD001055.pub4/pdf/full</t>
  </si>
  <si>
    <t>The time series graph uses historic ASH Smokefree Great Britain Survey data.</t>
  </si>
  <si>
    <t>Great Britain</t>
  </si>
  <si>
    <t>Results from 2009 to 2012 are for Scotland and England only; 2013 onwards shows all GB</t>
  </si>
  <si>
    <t>Text for GB only</t>
  </si>
  <si>
    <t>Support for banning smoking in…</t>
  </si>
  <si>
    <t>TM2024</t>
  </si>
  <si>
    <t>NE2024</t>
  </si>
  <si>
    <t>DK2024</t>
  </si>
  <si>
    <t>AR2024</t>
  </si>
  <si>
    <t>Sum of TM2024</t>
  </si>
  <si>
    <t>Sum of AR2024</t>
  </si>
  <si>
    <t>Sum of NE2024</t>
  </si>
  <si>
    <t>Sum of DK2024</t>
  </si>
  <si>
    <t>Smokefree gen (Support)</t>
  </si>
  <si>
    <t>Smokefree gen (Oppose)</t>
  </si>
  <si>
    <t>GB noone smokes (Support)</t>
  </si>
  <si>
    <t>GB noone smokes (Oppose)</t>
  </si>
  <si>
    <t>Sum of Smokefree gen (Support)</t>
  </si>
  <si>
    <t>Sum of Smokefree gen (Oppose)</t>
  </si>
  <si>
    <t>Sum of GB noone smokes (Support)</t>
  </si>
  <si>
    <t>Sum of GB noone smokes (Oppose)</t>
  </si>
  <si>
    <t>Mandatory age verification (Support)</t>
  </si>
  <si>
    <t>Mandatory age verification (Oppose)</t>
  </si>
  <si>
    <t>Sum of Mandatory age verification (Support)</t>
  </si>
  <si>
    <t>Sum of Mandatory age verification (Oppose)</t>
  </si>
  <si>
    <t>Mandatory age verification</t>
  </si>
  <si>
    <t>Ban sale and import of disposables (Support)</t>
  </si>
  <si>
    <t>Ban sale and import of disposables (Oppose)</t>
  </si>
  <si>
    <t>Sum of Ban sale and import of disposables (Support)</t>
  </si>
  <si>
    <t>Sum of Ban sale and import of disposables (Oppose)</t>
  </si>
  <si>
    <t>Point of sale promotion of vapes</t>
  </si>
  <si>
    <t>Names of sweets, cartoons and bright colours on vape packaging</t>
  </si>
  <si>
    <t>Sale and import of disposable vapes</t>
  </si>
  <si>
    <t>Levy on tobacco manufacturers</t>
  </si>
  <si>
    <t>Vape policies</t>
  </si>
  <si>
    <t>Agreement with goals</t>
  </si>
  <si>
    <t>Approval of government activity</t>
  </si>
  <si>
    <t>Year on year age of sale increase</t>
  </si>
  <si>
    <t>Retail and manufacturer requirements</t>
  </si>
  <si>
    <t>Government accountablity</t>
  </si>
  <si>
    <t>Smoking bans in areas</t>
  </si>
  <si>
    <t>Smoking should be banned in all public transport waiting areas (Support)</t>
  </si>
  <si>
    <t>Smoking should be banned in all public transport waiting areas (Oppose)</t>
  </si>
  <si>
    <t>All public transport waiting areas</t>
  </si>
  <si>
    <t>Sum of Smoking should be banned in all public transport waiting areas (Support)</t>
  </si>
  <si>
    <t>Sum of Smoking should be banned in all public transport waiting areas (Oppose)</t>
  </si>
  <si>
    <t>Paragraph</t>
  </si>
  <si>
    <t>ASH &amp; YouGov Plc Smokefree Great Britain Youth Survey 2024. Total sample size of 11-17 year olds was 2,574, with the 2,336 who had heard of vapes answering this question. Fieldwork was undertaken between 21st March - 18th April 2024. The survey was carried out online. The firgures have been weighted to be representative of young people in Great Britain.</t>
  </si>
  <si>
    <t>Available from: https://ash.org.uk/resources/publications/fact-sheets</t>
  </si>
  <si>
    <t>Protected from industry (Support)</t>
  </si>
  <si>
    <t>Protected from industry (Oppose)</t>
  </si>
  <si>
    <t>Sum of Protected from industry (Support)</t>
  </si>
  <si>
    <t>Sum of Protected from industry (Oppose)</t>
  </si>
  <si>
    <t>Protecting the Government from the influence of the tobacco industry</t>
  </si>
  <si>
    <t>Government accountability and impartiality</t>
  </si>
  <si>
    <t>Smoking ban in certain locations</t>
  </si>
  <si>
    <t>Smoking in pregnancy</t>
  </si>
  <si>
    <t>Transparency about sources of funding for anyone submitting evidence to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</si>
</sst>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_-* #,##0.0000000_-;\-* #,##0.0000000_-;_-* &quot;-&quot;??_-;_-@_-"/>
    <numFmt numFmtId="166" formatCode="0.0"/>
  </numFmts>
  <fonts count="19" x14ac:knownFonts="1">
    <font>
      <sz val="11"/>
      <color theme="1"/>
      <name val="Calibri"/>
      <family val="2"/>
      <scheme val="minor"/>
    </font>
    <font>
      <sz val="11"/>
      <color theme="1"/>
      <name val="Calibri"/>
      <family val="2"/>
      <scheme val="minor"/>
    </font>
    <font>
      <b/>
      <sz val="12"/>
      <color rgb="FFDE8918"/>
      <name val="Calibri"/>
      <family val="2"/>
      <scheme val="minor"/>
    </font>
    <font>
      <sz val="12"/>
      <color theme="1"/>
      <name val="Calibri"/>
      <family val="2"/>
      <scheme val="minor"/>
    </font>
    <font>
      <vertAlign val="superscript"/>
      <sz val="11"/>
      <color theme="1"/>
      <name val="Calibri"/>
      <family val="2"/>
      <scheme val="minor"/>
    </font>
    <font>
      <sz val="9"/>
      <color theme="1"/>
      <name val="Calibri"/>
      <family val="2"/>
      <scheme val="minor"/>
    </font>
    <font>
      <sz val="8"/>
      <name val="Calibri"/>
      <family val="2"/>
      <scheme val="minor"/>
    </font>
    <font>
      <b/>
      <sz val="16"/>
      <name val="Calibri"/>
      <family val="2"/>
      <scheme val="minor"/>
    </font>
    <font>
      <u/>
      <sz val="11"/>
      <color theme="10"/>
      <name val="Calibri"/>
      <family val="2"/>
      <scheme val="minor"/>
    </font>
    <font>
      <u/>
      <sz val="9"/>
      <color theme="10"/>
      <name val="Calibri"/>
      <family val="2"/>
      <scheme val="minor"/>
    </font>
    <font>
      <b/>
      <sz val="11"/>
      <color theme="1"/>
      <name val="Calibri"/>
      <family val="2"/>
      <scheme val="minor"/>
    </font>
    <font>
      <sz val="10"/>
      <color rgb="FF7F7F7F"/>
      <name val="Calibri"/>
      <family val="2"/>
      <scheme val="minor"/>
    </font>
    <font>
      <b/>
      <sz val="8"/>
      <name val="Arial"/>
      <family val="2"/>
    </font>
    <font>
      <sz val="8"/>
      <name val="Arial"/>
      <family val="2"/>
    </font>
    <font>
      <vertAlign val="superscript"/>
      <sz val="9"/>
      <color theme="1"/>
      <name val="Calibri"/>
      <family val="2"/>
      <scheme val="minor"/>
    </font>
    <font>
      <i/>
      <sz val="9"/>
      <color theme="1"/>
      <name val="Calibri"/>
      <family val="2"/>
      <scheme val="minor"/>
    </font>
    <font>
      <sz val="12"/>
      <color rgb="FF7F7F7F"/>
      <name val="Calibri"/>
      <family val="2"/>
      <scheme val="minor"/>
    </font>
    <font>
      <sz val="11"/>
      <name val="Calibri"/>
      <family val="2"/>
      <scheme val="minor"/>
    </font>
    <font>
      <b/>
      <sz val="16"/>
      <color theme="1" tint="0.3499862666707357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10">
    <xf numFmtId="0" fontId="0"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2" fillId="0" borderId="0">
      <alignment horizontal="center" vertical="center" wrapText="1"/>
    </xf>
    <xf numFmtId="0" fontId="13" fillId="0" borderId="0">
      <alignment horizontal="right" vertical="center" wrapText="1"/>
    </xf>
    <xf numFmtId="9" fontId="13" fillId="3" borderId="0">
      <alignment horizontal="center" vertical="center"/>
    </xf>
    <xf numFmtId="9" fontId="13" fillId="0" borderId="0">
      <alignment horizontal="center" vertical="center"/>
    </xf>
    <xf numFmtId="166" fontId="13" fillId="0" borderId="0">
      <alignment horizontal="center" vertical="center"/>
    </xf>
  </cellStyleXfs>
  <cellXfs count="55">
    <xf numFmtId="0" fontId="0" fillId="0" borderId="0" xfId="0"/>
    <xf numFmtId="10" fontId="0" fillId="0" borderId="0" xfId="0" applyNumberFormat="1"/>
    <xf numFmtId="0" fontId="0" fillId="0" borderId="0" xfId="0" applyAlignment="1">
      <alignment horizontal="left"/>
    </xf>
    <xf numFmtId="0" fontId="0" fillId="0" borderId="0" xfId="0" applyAlignment="1">
      <alignment wrapText="1"/>
    </xf>
    <xf numFmtId="0" fontId="0" fillId="0" borderId="0" xfId="0" pivotButton="1"/>
    <xf numFmtId="164" fontId="0" fillId="0" borderId="0" xfId="0" applyNumberFormat="1"/>
    <xf numFmtId="0" fontId="0" fillId="2" borderId="0" xfId="0" applyFill="1"/>
    <xf numFmtId="0" fontId="0" fillId="2" borderId="0" xfId="0" applyFill="1" applyAlignment="1">
      <alignment wrapText="1"/>
    </xf>
    <xf numFmtId="0" fontId="0" fillId="0" borderId="0" xfId="0" applyAlignment="1">
      <alignment horizontal="justify" vertical="center"/>
    </xf>
    <xf numFmtId="0" fontId="3" fillId="2" borderId="0" xfId="0" applyFont="1" applyFill="1" applyAlignment="1">
      <alignment horizontal="left" vertical="top" wrapText="1"/>
    </xf>
    <xf numFmtId="0" fontId="2" fillId="2" borderId="0" xfId="0"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vertical="top" wrapText="1"/>
    </xf>
    <xf numFmtId="0" fontId="2" fillId="2" borderId="0" xfId="0" applyFont="1" applyFill="1" applyAlignment="1">
      <alignment horizontal="left" wrapText="1"/>
    </xf>
    <xf numFmtId="0" fontId="2" fillId="2" borderId="0" xfId="0" applyFont="1" applyFill="1"/>
    <xf numFmtId="0" fontId="0" fillId="0" borderId="0" xfId="0" applyAlignment="1">
      <alignment horizontal="right" wrapText="1"/>
    </xf>
    <xf numFmtId="1" fontId="0" fillId="0" borderId="0" xfId="0" applyNumberFormat="1"/>
    <xf numFmtId="0" fontId="10" fillId="0" borderId="0" xfId="0" applyFont="1"/>
    <xf numFmtId="9" fontId="0" fillId="0" borderId="0" xfId="2" applyFont="1"/>
    <xf numFmtId="9" fontId="0" fillId="0" borderId="0" xfId="2" applyFont="1" applyAlignment="1">
      <alignment horizontal="right" wrapText="1"/>
    </xf>
    <xf numFmtId="9" fontId="0" fillId="0" borderId="0" xfId="2" applyFont="1" applyFill="1"/>
    <xf numFmtId="9" fontId="0" fillId="0" borderId="0" xfId="0" applyNumberFormat="1"/>
    <xf numFmtId="9" fontId="0" fillId="0" borderId="0" xfId="0" applyNumberFormat="1" applyAlignment="1">
      <alignment wrapText="1"/>
    </xf>
    <xf numFmtId="165" fontId="0" fillId="0" borderId="0" xfId="4" applyNumberFormat="1" applyFont="1"/>
    <xf numFmtId="165" fontId="0" fillId="0" borderId="0" xfId="0" applyNumberFormat="1"/>
    <xf numFmtId="165" fontId="0" fillId="0" borderId="0" xfId="0" applyNumberFormat="1" applyAlignment="1">
      <alignment horizontal="left"/>
    </xf>
    <xf numFmtId="3" fontId="0" fillId="0" borderId="0" xfId="0" applyNumberFormat="1"/>
    <xf numFmtId="0" fontId="3" fillId="0" borderId="0" xfId="0" applyFont="1" applyAlignment="1">
      <alignment horizontal="left" vertical="top" wrapText="1"/>
    </xf>
    <xf numFmtId="0" fontId="4" fillId="2" borderId="0" xfId="0" applyFont="1" applyFill="1" applyAlignment="1">
      <alignment vertical="top"/>
    </xf>
    <xf numFmtId="0" fontId="14" fillId="2" borderId="0" xfId="0" applyFont="1" applyFill="1" applyAlignment="1">
      <alignment vertical="top"/>
    </xf>
    <xf numFmtId="0" fontId="5" fillId="2" borderId="0" xfId="0" applyFont="1" applyFill="1" applyAlignment="1">
      <alignment horizontal="left" wrapText="1"/>
    </xf>
    <xf numFmtId="0" fontId="9" fillId="2" borderId="0" xfId="3" applyFont="1" applyFill="1"/>
    <xf numFmtId="0" fontId="0" fillId="0" borderId="0" xfId="0" applyAlignment="1">
      <alignment horizontal="center" wrapText="1"/>
    </xf>
    <xf numFmtId="0" fontId="13" fillId="0" borderId="0" xfId="6">
      <alignment horizontal="right" vertical="center" wrapText="1"/>
    </xf>
    <xf numFmtId="9" fontId="13" fillId="0" borderId="0" xfId="7" applyFill="1">
      <alignment horizontal="center" vertical="center"/>
    </xf>
    <xf numFmtId="9" fontId="13" fillId="0" borderId="0" xfId="8">
      <alignment horizontal="center" vertical="center"/>
    </xf>
    <xf numFmtId="0" fontId="0" fillId="0" borderId="0" xfId="0" applyAlignment="1">
      <alignment horizontal="center" textRotation="90" wrapText="1"/>
    </xf>
    <xf numFmtId="0" fontId="0" fillId="0" borderId="0" xfId="0" applyAlignment="1">
      <alignment horizontal="right"/>
    </xf>
    <xf numFmtId="0" fontId="15" fillId="2" borderId="0" xfId="0" applyFont="1" applyFill="1"/>
    <xf numFmtId="0" fontId="12" fillId="0" borderId="0" xfId="5">
      <alignment horizontal="center" vertical="center" wrapText="1"/>
    </xf>
    <xf numFmtId="1" fontId="13" fillId="0" borderId="0" xfId="9" applyNumberFormat="1">
      <alignment horizontal="center" vertical="center"/>
    </xf>
    <xf numFmtId="9" fontId="12" fillId="0" borderId="0" xfId="0" applyNumberFormat="1" applyFont="1" applyAlignment="1">
      <alignment horizontal="center" vertical="center" wrapText="1"/>
    </xf>
    <xf numFmtId="0" fontId="10" fillId="0" borderId="0" xfId="0" applyFont="1" applyAlignment="1">
      <alignment wrapText="1"/>
    </xf>
    <xf numFmtId="9" fontId="17" fillId="0" borderId="0" xfId="8" applyFont="1" applyAlignment="1">
      <alignment horizontal="right" vertical="center"/>
    </xf>
    <xf numFmtId="0" fontId="18" fillId="2" borderId="0" xfId="0" applyFont="1" applyFill="1"/>
    <xf numFmtId="0" fontId="7" fillId="0" borderId="0" xfId="0" applyFont="1" applyAlignment="1">
      <alignment horizontal="center" vertical="top" wrapText="1"/>
    </xf>
    <xf numFmtId="0" fontId="3" fillId="2" borderId="0" xfId="0" applyFont="1" applyFill="1" applyAlignment="1">
      <alignment horizontal="left" vertical="top" wrapText="1"/>
    </xf>
    <xf numFmtId="0" fontId="15" fillId="2" borderId="0" xfId="0" applyFont="1" applyFill="1" applyAlignment="1">
      <alignment horizontal="left" wrapText="1"/>
    </xf>
    <xf numFmtId="0" fontId="5" fillId="2" borderId="0" xfId="0" applyFont="1" applyFill="1" applyAlignment="1">
      <alignment horizontal="left" vertical="top" wrapText="1"/>
    </xf>
    <xf numFmtId="0" fontId="3" fillId="0" borderId="0" xfId="0" applyFont="1" applyAlignment="1">
      <alignment horizontal="left" vertical="top" wrapText="1"/>
    </xf>
    <xf numFmtId="0" fontId="2" fillId="2" borderId="0" xfId="0" applyFont="1" applyFill="1" applyAlignment="1">
      <alignment horizontal="center" wrapText="1"/>
    </xf>
    <xf numFmtId="0" fontId="0" fillId="2" borderId="0" xfId="0" applyFill="1" applyAlignment="1">
      <alignment horizontal="left" wrapText="1"/>
    </xf>
    <xf numFmtId="0" fontId="16" fillId="2" borderId="0" xfId="0" applyFont="1" applyFill="1" applyAlignment="1">
      <alignment horizontal="center" vertical="center" wrapText="1"/>
    </xf>
    <xf numFmtId="0" fontId="5" fillId="2" borderId="0" xfId="0" applyFont="1" applyFill="1" applyAlignment="1">
      <alignment horizontal="left" wrapText="1"/>
    </xf>
    <xf numFmtId="0" fontId="11" fillId="2" borderId="0" xfId="0" applyFont="1" applyFill="1" applyAlignment="1">
      <alignment horizontal="center" wrapText="1"/>
    </xf>
  </cellXfs>
  <cellStyles count="10">
    <cellStyle name="Comma" xfId="4" builtinId="3"/>
    <cellStyle name="Formatter_Category" xfId="6" xr:uid="{D4E50AE3-7E78-498C-A2F1-FBAD16F788AC}"/>
    <cellStyle name="Formatter_Crossbreak" xfId="5" xr:uid="{B5581919-A42C-4280-BE41-8A92127FA3D5}"/>
    <cellStyle name="Formatter_Decimals_White" xfId="9" xr:uid="{13161DFC-3E62-46EA-9D3E-ECC17109B79D}"/>
    <cellStyle name="Formatter_Percent_Grey" xfId="7" xr:uid="{03E3EBF4-5AF2-4B2B-AF7B-EB94122DCDFB}"/>
    <cellStyle name="Formatter_Percent_White" xfId="8" xr:uid="{5CD9EEE7-3BE5-4D4E-A395-BC5353159C09}"/>
    <cellStyle name="Hyperlink" xfId="3" builtinId="8"/>
    <cellStyle name="Normal" xfId="0" builtinId="0"/>
    <cellStyle name="Normal 6" xfId="1" xr:uid="{90FA7402-A492-48BB-8139-1A33F4BA644A}"/>
    <cellStyle name="Percent" xfId="2" builtinId="5"/>
  </cellStyles>
  <dxfs count="214">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8"/>
        <color auto="1"/>
        <name val="Arial"/>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dxf>
    <dxf>
      <numFmt numFmtId="13" formatCode="0%"/>
    </dxf>
    <dxf>
      <font>
        <b val="0"/>
        <i val="0"/>
        <strike val="0"/>
        <condense val="0"/>
        <extend val="0"/>
        <outline val="0"/>
        <shadow val="0"/>
        <u val="none"/>
        <vertAlign val="baseline"/>
        <sz val="11"/>
        <color theme="1"/>
        <name val="Calibri"/>
        <family val="2"/>
        <scheme val="minor"/>
      </font>
    </dxf>
    <dxf>
      <numFmt numFmtId="13" formatCode="0%"/>
    </dxf>
    <dxf>
      <numFmt numFmtId="13" formatCode="0%"/>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numFmt numFmtId="13" formatCode="0%"/>
    </dxf>
    <dxf>
      <font>
        <b val="0"/>
        <i val="0"/>
        <strike val="0"/>
        <condense val="0"/>
        <extend val="0"/>
        <outline val="0"/>
        <shadow val="0"/>
        <u val="none"/>
        <vertAlign val="baseline"/>
        <sz val="11"/>
        <color theme="1"/>
        <name val="Calibri"/>
        <family val="2"/>
        <scheme val="minor"/>
      </font>
    </dxf>
    <dxf>
      <alignment horizontal="center" vertical="bottom" wrapText="1" indent="0" justifyLastLine="0" shrinkToFit="0" readingOrder="0"/>
    </dxf>
    <dxf>
      <numFmt numFmtId="165" formatCode="_-* #,##0.0000000_-;\-* #,##0.0000000_-;_-* &quot;-&quot;??_-;_-@_-"/>
    </dxf>
    <dxf>
      <numFmt numFmtId="165" formatCode="_-* #,##0.0000000_-;\-* #,##0.0000000_-;_-* &quot;-&quot;??_-;_-@_-"/>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1" xr9:uid="{1A0B5D87-4705-47B8-A4F1-6BEA14B671DD}">
      <tableStyleElement type="wholeTable" dxfId="213"/>
    </tableStyle>
  </tableStyles>
  <colors>
    <mruColors>
      <color rgb="FFD99694"/>
      <color rgb="FFD7E4BD"/>
      <color rgb="FFE8E8E8"/>
      <color rgb="FFC0504D"/>
      <color rgb="FF9BBB59"/>
      <color rgb="FFFCDCB2"/>
      <color rgb="FFF7971D"/>
      <color rgb="FFE89526"/>
      <color rgb="FFFF6600"/>
      <color rgb="FFDE8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18"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customXml" Target="../customXml/item10.xml"/><Relationship Id="rId7" Type="http://schemas.openxmlformats.org/officeDocument/2006/relationships/theme" Target="theme/theme1.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customXml" Target="../customXml/item4.xml"/><Relationship Id="rId10" Type="http://schemas.openxmlformats.org/officeDocument/2006/relationships/sharedStrings" Target="sharedStrings.xml"/><Relationship Id="rId1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rgbClr val="7F7F7F"/>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710600123326637"/>
          <c:y val="0.28511508012646714"/>
          <c:w val="0.86925993597981266"/>
          <c:h val="0.63727388888888892"/>
        </c:manualLayout>
      </c:layout>
      <c:bar3DChart>
        <c:barDir val="bar"/>
        <c:grouping val="clustered"/>
        <c:varyColors val="0"/>
        <c:ser>
          <c:idx val="0"/>
          <c:order val="0"/>
          <c:tx>
            <c:strRef>
              <c:f>'Get Pivot'!$A$37</c:f>
              <c:strCache>
                <c:ptCount val="1"/>
                <c:pt idx="0">
                  <c:v>Great Britain support for raising the age of sale for tobacco for those born in 2009 or later by one year, every year, so it will never be legal to sell them tobacco</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rgbClr val="F7971D"/>
              </a:solidFill>
              <a:round/>
            </a:ln>
            <a:effectLst>
              <a:outerShdw blurRad="40000" dist="20000" dir="5400000" rotWithShape="0">
                <a:srgbClr val="000000">
                  <a:alpha val="38000"/>
                </a:srgbClr>
              </a:outerShdw>
            </a:effectLst>
            <a:sp3d contourW="9525">
              <a:contourClr>
                <a:srgbClr val="F7971D"/>
              </a:contourClr>
            </a:sp3d>
          </c:spPr>
          <c:invertIfNegative val="0"/>
          <c:dPt>
            <c:idx val="0"/>
            <c:invertIfNegative val="0"/>
            <c:bubble3D val="0"/>
            <c:spPr>
              <a:gradFill rotWithShape="1">
                <a:gsLst>
                  <a:gs pos="7000">
                    <a:srgbClr val="FCDCB2"/>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1-D0C6-45C4-B597-C0689D5F7A29}"/>
              </c:ext>
            </c:extLst>
          </c:dPt>
          <c:dPt>
            <c:idx val="1"/>
            <c:invertIfNegative val="0"/>
            <c:bubble3D val="0"/>
            <c:spPr>
              <a:gradFill rotWithShape="1">
                <a:gsLst>
                  <a:gs pos="17000">
                    <a:schemeClr val="bg1">
                      <a:lumMod val="91000"/>
                    </a:schemeClr>
                  </a:gs>
                  <a:gs pos="100000">
                    <a:schemeClr val="bg1">
                      <a:lumMod val="65000"/>
                    </a:schemeClr>
                  </a:gs>
                </a:gsLst>
                <a:lin ang="5400000" scaled="1"/>
              </a:gradFill>
              <a:ln w="9525" cap="flat" cmpd="sng" algn="ctr">
                <a:solidFill>
                  <a:schemeClr val="bg1">
                    <a:lumMod val="75000"/>
                  </a:schemeClr>
                </a:solidFill>
                <a:round/>
              </a:ln>
              <a:effectLst>
                <a:outerShdw blurRad="40000" dist="20000" dir="5400000" rotWithShape="0">
                  <a:srgbClr val="000000">
                    <a:alpha val="38000"/>
                  </a:srgbClr>
                </a:outerShdw>
              </a:effectLst>
              <a:sp3d contourW="9525">
                <a:contourClr>
                  <a:schemeClr val="bg1">
                    <a:lumMod val="75000"/>
                  </a:schemeClr>
                </a:contourClr>
              </a:sp3d>
            </c:spPr>
            <c:extLst>
              <c:ext xmlns:c16="http://schemas.microsoft.com/office/drawing/2014/chart" uri="{C3380CC4-5D6E-409C-BE32-E72D297353CC}">
                <c16:uniqueId val="{00000003-D0C6-45C4-B597-C0689D5F7A29}"/>
              </c:ext>
            </c:extLst>
          </c:dPt>
          <c:dLbls>
            <c:dLbl>
              <c:idx val="0"/>
              <c:layout>
                <c:manualLayout>
                  <c:x val="1.2944983818770227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6-45C4-B597-C0689D5F7A29}"/>
                </c:ext>
              </c:extLst>
            </c:dLbl>
            <c:dLbl>
              <c:idx val="1"/>
              <c:layout>
                <c:manualLayout>
                  <c:x val="2.3300970873786311E-2"/>
                  <c:y val="-4.629629629629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C6-45C4-B597-C0689D5F7A2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Pivot'!$E$41:$F$41</c:f>
              <c:strCache>
                <c:ptCount val="2"/>
                <c:pt idx="0">
                  <c:v>Support</c:v>
                </c:pt>
                <c:pt idx="1">
                  <c:v>Oppose</c:v>
                </c:pt>
              </c:strCache>
            </c:strRef>
          </c:cat>
          <c:val>
            <c:numRef>
              <c:f>'Get Pivot'!$B$37:$C$37</c:f>
              <c:numCache>
                <c:formatCode>0.00%</c:formatCode>
                <c:ptCount val="2"/>
                <c:pt idx="0">
                  <c:v>0.69059999999999999</c:v>
                </c:pt>
                <c:pt idx="1">
                  <c:v>0.1197</c:v>
                </c:pt>
              </c:numCache>
            </c:numRef>
          </c:val>
          <c:extLst>
            <c:ext xmlns:c16="http://schemas.microsoft.com/office/drawing/2014/chart" uri="{C3380CC4-5D6E-409C-BE32-E72D297353CC}">
              <c16:uniqueId val="{00000004-D0C6-45C4-B597-C0689D5F7A29}"/>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00119161662655"/>
          <c:y val="0.27100388888888882"/>
          <c:w val="0.86925993597981266"/>
          <c:h val="0.65138499999999988"/>
        </c:manualLayout>
      </c:layout>
      <c:bar3DChart>
        <c:barDir val="bar"/>
        <c:grouping val="clustered"/>
        <c:varyColors val="0"/>
        <c:ser>
          <c:idx val="0"/>
          <c:order val="0"/>
          <c:tx>
            <c:strRef>
              <c:f>'Get Pivot'!$A$41</c:f>
              <c:strCache>
                <c:ptCount val="1"/>
                <c:pt idx="0">
                  <c:v>Great Britain support for requiring tobacco manufacturers to pay a levy to government</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invertIfNegative val="0"/>
          <c:dPt>
            <c:idx val="0"/>
            <c:invertIfNegative val="0"/>
            <c:bubble3D val="0"/>
            <c:spPr>
              <a:gradFill rotWithShape="1">
                <a:gsLst>
                  <a:gs pos="7000">
                    <a:srgbClr val="FCDCB2"/>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1-8A97-45B6-9E75-8973F31E8FAC}"/>
              </c:ext>
            </c:extLst>
          </c:dPt>
          <c:dPt>
            <c:idx val="1"/>
            <c:invertIfNegative val="0"/>
            <c:bubble3D val="0"/>
            <c:spPr>
              <a:gradFill rotWithShape="1">
                <a:gsLst>
                  <a:gs pos="17000">
                    <a:schemeClr val="bg1">
                      <a:lumMod val="91000"/>
                    </a:schemeClr>
                  </a:gs>
                  <a:gs pos="100000">
                    <a:schemeClr val="bg1">
                      <a:lumMod val="65000"/>
                    </a:schemeClr>
                  </a:gs>
                </a:gsLst>
                <a:lin ang="5400000" scaled="1"/>
              </a:gradFill>
              <a:ln w="9525" cap="flat" cmpd="sng" algn="ctr">
                <a:solidFill>
                  <a:schemeClr val="bg1">
                    <a:lumMod val="75000"/>
                  </a:schemeClr>
                </a:solidFill>
                <a:round/>
              </a:ln>
              <a:effectLst>
                <a:outerShdw blurRad="40000" dist="20000" dir="5400000" rotWithShape="0">
                  <a:srgbClr val="000000">
                    <a:alpha val="38000"/>
                  </a:srgbClr>
                </a:outerShdw>
              </a:effectLst>
              <a:sp3d contourW="9525">
                <a:contourClr>
                  <a:schemeClr val="bg1">
                    <a:lumMod val="75000"/>
                  </a:schemeClr>
                </a:contourClr>
              </a:sp3d>
            </c:spPr>
            <c:extLst>
              <c:ext xmlns:c16="http://schemas.microsoft.com/office/drawing/2014/chart" uri="{C3380CC4-5D6E-409C-BE32-E72D297353CC}">
                <c16:uniqueId val="{00000003-8A97-45B6-9E75-8973F31E8FAC}"/>
              </c:ext>
            </c:extLst>
          </c:dPt>
          <c:dLbls>
            <c:dLbl>
              <c:idx val="0"/>
              <c:layout>
                <c:manualLayout>
                  <c:x val="1.2944983818770227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97-45B6-9E75-8973F31E8FAC}"/>
                </c:ext>
              </c:extLst>
            </c:dLbl>
            <c:dLbl>
              <c:idx val="1"/>
              <c:layout>
                <c:manualLayout>
                  <c:x val="2.3300970873786311E-2"/>
                  <c:y val="-4.629629629629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97-45B6-9E75-8973F31E8F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Pivot'!$E$43:$F$43</c:f>
              <c:strCache>
                <c:ptCount val="2"/>
                <c:pt idx="0">
                  <c:v>Support</c:v>
                </c:pt>
                <c:pt idx="1">
                  <c:v>Oppose</c:v>
                </c:pt>
              </c:strCache>
            </c:strRef>
          </c:cat>
          <c:val>
            <c:numRef>
              <c:f>'Get Pivot'!$B$41:$C$41</c:f>
              <c:numCache>
                <c:formatCode>0.00%</c:formatCode>
                <c:ptCount val="2"/>
                <c:pt idx="0">
                  <c:v>0.79390000000000005</c:v>
                </c:pt>
                <c:pt idx="1">
                  <c:v>5.4800000000000001E-2</c:v>
                </c:pt>
              </c:numCache>
            </c:numRef>
          </c:val>
          <c:extLst>
            <c:ext xmlns:c16="http://schemas.microsoft.com/office/drawing/2014/chart" uri="{C3380CC4-5D6E-409C-BE32-E72D297353CC}">
              <c16:uniqueId val="{00000004-8A97-45B6-9E75-8973F31E8FAC}"/>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00119161662655"/>
          <c:y val="0.22161500000000001"/>
          <c:w val="0.86925993597981266"/>
          <c:h val="0.70077388888888892"/>
        </c:manualLayout>
      </c:layout>
      <c:bar3DChart>
        <c:barDir val="bar"/>
        <c:grouping val="clustered"/>
        <c:varyColors val="0"/>
        <c:ser>
          <c:idx val="0"/>
          <c:order val="0"/>
          <c:tx>
            <c:strRef>
              <c:f>'Get Pivot'!$A$43</c:f>
              <c:strCache>
                <c:ptCount val="1"/>
                <c:pt idx="0">
                  <c:v>Great Britain support for cigarette packs to include inserts with government info about quitting</c:v>
                </c:pt>
              </c:strCache>
            </c:strRef>
          </c:tx>
          <c:spPr>
            <a:gradFill rotWithShape="1">
              <a:gsLst>
                <a:gs pos="0">
                  <a:srgbClr val="FCDCB2"/>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invertIfNegative val="0"/>
          <c:dPt>
            <c:idx val="0"/>
            <c:invertIfNegative val="0"/>
            <c:bubble3D val="0"/>
            <c:extLst>
              <c:ext xmlns:c16="http://schemas.microsoft.com/office/drawing/2014/chart" uri="{C3380CC4-5D6E-409C-BE32-E72D297353CC}">
                <c16:uniqueId val="{00000001-20C4-4116-A1F2-BCFE10FEC543}"/>
              </c:ext>
            </c:extLst>
          </c:dPt>
          <c:dPt>
            <c:idx val="1"/>
            <c:invertIfNegative val="0"/>
            <c:bubble3D val="0"/>
            <c:spPr>
              <a:gradFill rotWithShape="1">
                <a:gsLst>
                  <a:gs pos="25000">
                    <a:srgbClr val="E8E8E8"/>
                  </a:gs>
                  <a:gs pos="100000">
                    <a:schemeClr val="bg1">
                      <a:lumMod val="65000"/>
                    </a:schemeClr>
                  </a:gs>
                </a:gsLst>
                <a:lin ang="5400000" scaled="1"/>
              </a:gradFill>
              <a:ln w="9525" cap="flat" cmpd="sng" algn="ctr">
                <a:noFill/>
                <a:round/>
              </a:ln>
              <a:effectLst>
                <a:outerShdw blurRad="40000" dist="20000" dir="5400000" rotWithShape="0">
                  <a:srgbClr val="000000">
                    <a:alpha val="38000"/>
                  </a:srgbClr>
                </a:outerShdw>
              </a:effectLst>
              <a:sp3d>
                <a:contourClr>
                  <a:srgbClr val="FCDCB2"/>
                </a:contourClr>
              </a:sp3d>
            </c:spPr>
            <c:extLst>
              <c:ext xmlns:c16="http://schemas.microsoft.com/office/drawing/2014/chart" uri="{C3380CC4-5D6E-409C-BE32-E72D297353CC}">
                <c16:uniqueId val="{00000003-20C4-4116-A1F2-BCFE10FEC543}"/>
              </c:ext>
            </c:extLst>
          </c:dPt>
          <c:dLbls>
            <c:dLbl>
              <c:idx val="0"/>
              <c:layout>
                <c:manualLayout>
                  <c:x val="1.2944983818770227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C4-4116-A1F2-BCFE10FEC543}"/>
                </c:ext>
              </c:extLst>
            </c:dLbl>
            <c:dLbl>
              <c:idx val="1"/>
              <c:layout>
                <c:manualLayout>
                  <c:x val="2.3300970873786311E-2"/>
                  <c:y val="-4.629629629629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C4-4116-A1F2-BCFE10FEC54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Pivot'!$E$42:$F$42</c:f>
              <c:strCache>
                <c:ptCount val="2"/>
                <c:pt idx="0">
                  <c:v>Support</c:v>
                </c:pt>
                <c:pt idx="1">
                  <c:v>Oppose</c:v>
                </c:pt>
              </c:strCache>
            </c:strRef>
          </c:cat>
          <c:val>
            <c:numRef>
              <c:f>'Get Pivot'!$B$43:$C$43</c:f>
              <c:numCache>
                <c:formatCode>0.00%</c:formatCode>
                <c:ptCount val="2"/>
                <c:pt idx="0">
                  <c:v>0.71389999999999998</c:v>
                </c:pt>
                <c:pt idx="1">
                  <c:v>7.2400000000000006E-2</c:v>
                </c:pt>
              </c:numCache>
            </c:numRef>
          </c:val>
          <c:extLst>
            <c:ext xmlns:c16="http://schemas.microsoft.com/office/drawing/2014/chart" uri="{C3380CC4-5D6E-409C-BE32-E72D297353CC}">
              <c16:uniqueId val="{00000004-20C4-4116-A1F2-BCFE10FEC543}"/>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00119161662655"/>
          <c:y val="0.22867055555555554"/>
          <c:w val="0.86925993597981266"/>
          <c:h val="0.69371833333333333"/>
        </c:manualLayout>
      </c:layout>
      <c:bar3DChart>
        <c:barDir val="bar"/>
        <c:grouping val="clustered"/>
        <c:varyColors val="0"/>
        <c:ser>
          <c:idx val="0"/>
          <c:order val="0"/>
          <c:tx>
            <c:strRef>
              <c:f>'Get Pivot'!$A$49</c:f>
              <c:strCache>
                <c:ptCount val="1"/>
                <c:pt idx="0">
                  <c:v>Great Britain support for banning names of sweets, cartoons and bright colours on vape packaging</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invertIfNegative val="0"/>
          <c:dPt>
            <c:idx val="0"/>
            <c:invertIfNegative val="0"/>
            <c:bubble3D val="0"/>
            <c:spPr>
              <a:gradFill rotWithShape="1">
                <a:gsLst>
                  <a:gs pos="0">
                    <a:srgbClr val="FCDCB2">
                      <a:lumMod val="99000"/>
                    </a:srgbClr>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7-A1C3-4B45-A021-154D3830C8E0}"/>
              </c:ext>
            </c:extLst>
          </c:dPt>
          <c:dPt>
            <c:idx val="1"/>
            <c:invertIfNegative val="0"/>
            <c:bubble3D val="0"/>
            <c:spPr>
              <a:gradFill rotWithShape="1">
                <a:gsLst>
                  <a:gs pos="22000">
                    <a:srgbClr val="E8E8E8"/>
                  </a:gs>
                  <a:gs pos="100000">
                    <a:schemeClr val="bg1">
                      <a:lumMod val="65000"/>
                    </a:schemeClr>
                  </a:gs>
                </a:gsLst>
                <a:lin ang="5400000" scaled="1"/>
              </a:gradFill>
              <a:ln w="9525" cap="flat" cmpd="sng" algn="ctr">
                <a:noFill/>
                <a:round/>
              </a:ln>
              <a:effectLst>
                <a:outerShdw blurRad="40000" dist="20000" dir="5400000" rotWithShape="0">
                  <a:srgbClr val="000000">
                    <a:alpha val="38000"/>
                  </a:srgbClr>
                </a:outerShdw>
              </a:effectLst>
              <a:sp3d/>
            </c:spPr>
            <c:extLst>
              <c:ext xmlns:c16="http://schemas.microsoft.com/office/drawing/2014/chart" uri="{C3380CC4-5D6E-409C-BE32-E72D297353CC}">
                <c16:uniqueId val="{00000008-A1C3-4B45-A021-154D3830C8E0}"/>
              </c:ext>
            </c:extLst>
          </c:dPt>
          <c:dLbls>
            <c:dLbl>
              <c:idx val="0"/>
              <c:layout>
                <c:manualLayout>
                  <c:x val="1.7683448371889482E-2"/>
                  <c:y val="7.0630305962699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C3-4B45-A021-154D3830C8E0}"/>
                </c:ext>
              </c:extLst>
            </c:dLbl>
            <c:dLbl>
              <c:idx val="1"/>
              <c:layout>
                <c:manualLayout>
                  <c:x val="2.2735862192429335E-2"/>
                  <c:y val="7.0630305962699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C3-4B45-A021-154D3830C8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Pivot'!$E$49:$F$49</c:f>
              <c:strCache>
                <c:ptCount val="2"/>
                <c:pt idx="0">
                  <c:v>Support</c:v>
                </c:pt>
                <c:pt idx="1">
                  <c:v>Oppose</c:v>
                </c:pt>
              </c:strCache>
            </c:strRef>
          </c:cat>
          <c:val>
            <c:numRef>
              <c:f>'Get Pivot'!$B$49:$C$49</c:f>
              <c:numCache>
                <c:formatCode>0.00%</c:formatCode>
                <c:ptCount val="2"/>
                <c:pt idx="0">
                  <c:v>0.81950000000000001</c:v>
                </c:pt>
                <c:pt idx="1">
                  <c:v>4.7100000000000003E-2</c:v>
                </c:pt>
              </c:numCache>
            </c:numRef>
          </c:val>
          <c:extLst>
            <c:ext xmlns:c16="http://schemas.microsoft.com/office/drawing/2014/chart" uri="{C3380CC4-5D6E-409C-BE32-E72D297353CC}">
              <c16:uniqueId val="{00000006-A1C3-4B45-A021-154D3830C8E0}"/>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00119161662655"/>
          <c:y val="0.22867055555555554"/>
          <c:w val="0.86925993597981266"/>
          <c:h val="0.69371833333333333"/>
        </c:manualLayout>
      </c:layout>
      <c:bar3DChart>
        <c:barDir val="bar"/>
        <c:grouping val="clustered"/>
        <c:varyColors val="0"/>
        <c:ser>
          <c:idx val="0"/>
          <c:order val="0"/>
          <c:tx>
            <c:strRef>
              <c:f>'Get Pivot'!$A$48</c:f>
              <c:strCache>
                <c:ptCount val="1"/>
                <c:pt idx="0">
                  <c:v>Great Britain support for banning the sale and import of disposable vapes (e-cigarettes)</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invertIfNegative val="0"/>
          <c:dPt>
            <c:idx val="0"/>
            <c:invertIfNegative val="0"/>
            <c:bubble3D val="0"/>
            <c:spPr>
              <a:gradFill rotWithShape="1">
                <a:gsLst>
                  <a:gs pos="0">
                    <a:srgbClr val="FCDCB2"/>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7-FFD6-4D93-ACDA-CED3E05BACB3}"/>
              </c:ext>
            </c:extLst>
          </c:dPt>
          <c:dPt>
            <c:idx val="1"/>
            <c:invertIfNegative val="0"/>
            <c:bubble3D val="0"/>
            <c:spPr>
              <a:gradFill rotWithShape="1">
                <a:gsLst>
                  <a:gs pos="35000">
                    <a:srgbClr val="E8E8E8"/>
                  </a:gs>
                  <a:gs pos="100000">
                    <a:schemeClr val="bg1">
                      <a:lumMod val="65000"/>
                    </a:schemeClr>
                  </a:gs>
                </a:gsLst>
                <a:lin ang="5400000" scaled="0"/>
              </a:gradFill>
              <a:ln w="9525" cap="flat" cmpd="sng" algn="ctr">
                <a:noFill/>
                <a:round/>
              </a:ln>
              <a:effectLst>
                <a:outerShdw blurRad="40000" dist="20000" dir="5400000" rotWithShape="0">
                  <a:srgbClr val="000000">
                    <a:alpha val="38000"/>
                  </a:srgbClr>
                </a:outerShdw>
              </a:effectLst>
              <a:sp3d/>
            </c:spPr>
            <c:extLst>
              <c:ext xmlns:c16="http://schemas.microsoft.com/office/drawing/2014/chart" uri="{C3380CC4-5D6E-409C-BE32-E72D297353CC}">
                <c16:uniqueId val="{00000006-FFD6-4D93-ACDA-CED3E05BACB3}"/>
              </c:ext>
            </c:extLst>
          </c:dPt>
          <c:dLbls>
            <c:dLbl>
              <c:idx val="0"/>
              <c:layout>
                <c:manualLayout>
                  <c:x val="2.5271645313452971E-2"/>
                  <c:y val="7.07052149271513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D6-4D93-ACDA-CED3E05BACB3}"/>
                </c:ext>
              </c:extLst>
            </c:dLbl>
            <c:dLbl>
              <c:idx val="1"/>
              <c:layout>
                <c:manualLayout>
                  <c:x val="2.7798809844798222E-2"/>
                  <c:y val="1.296247299305027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D6-4D93-ACDA-CED3E05BAC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Pivot'!$E$48:$F$48</c:f>
              <c:strCache>
                <c:ptCount val="2"/>
                <c:pt idx="0">
                  <c:v>Support</c:v>
                </c:pt>
                <c:pt idx="1">
                  <c:v>Oppose</c:v>
                </c:pt>
              </c:strCache>
            </c:strRef>
          </c:cat>
          <c:val>
            <c:numRef>
              <c:f>'Get Pivot'!$B$48:$C$48</c:f>
              <c:numCache>
                <c:formatCode>0.00%</c:formatCode>
                <c:ptCount val="2"/>
                <c:pt idx="0">
                  <c:v>0.80489999999999995</c:v>
                </c:pt>
                <c:pt idx="1">
                  <c:v>6.7100000000000007E-2</c:v>
                </c:pt>
              </c:numCache>
            </c:numRef>
          </c:val>
          <c:extLst>
            <c:ext xmlns:c16="http://schemas.microsoft.com/office/drawing/2014/chart" uri="{C3380CC4-5D6E-409C-BE32-E72D297353CC}">
              <c16:uniqueId val="{00000005-FFD6-4D93-ACDA-CED3E05BACB3}"/>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47699552261851E-2"/>
          <c:y val="6.2628709872804347E-2"/>
          <c:w val="0.86925993597981266"/>
          <c:h val="0.73432686285357041"/>
        </c:manualLayout>
      </c:layout>
      <c:lineChart>
        <c:grouping val="standard"/>
        <c:varyColors val="0"/>
        <c:ser>
          <c:idx val="0"/>
          <c:order val="0"/>
          <c:tx>
            <c:strRef>
              <c:f>'Get Pivot'!$D$11</c:f>
              <c:strCache>
                <c:ptCount val="1"/>
                <c:pt idx="0">
                  <c:v>Too Much</c:v>
                </c:pt>
              </c:strCache>
            </c:strRef>
          </c:tx>
          <c:spPr>
            <a:ln w="15875" cap="rnd">
              <a:solidFill>
                <a:srgbClr val="8064A2"/>
              </a:solidFill>
              <a:round/>
            </a:ln>
            <a:effectLst>
              <a:outerShdw blurRad="40000" dist="20000" dir="5400000" rotWithShape="0">
                <a:srgbClr val="000000">
                  <a:alpha val="38000"/>
                </a:srgbClr>
              </a:outerShdw>
            </a:effectLst>
          </c:spPr>
          <c:marker>
            <c:symbol val="none"/>
          </c:marker>
          <c:dPt>
            <c:idx val="0"/>
            <c:marker>
              <c:symbol val="none"/>
            </c:marker>
            <c:bubble3D val="0"/>
            <c:extLst>
              <c:ext xmlns:c16="http://schemas.microsoft.com/office/drawing/2014/chart" uri="{C3380CC4-5D6E-409C-BE32-E72D297353CC}">
                <c16:uniqueId val="{00000000-5127-407D-9280-6065430CA5B5}"/>
              </c:ext>
            </c:extLst>
          </c:dPt>
          <c:dPt>
            <c:idx val="1"/>
            <c:marker>
              <c:symbol val="none"/>
            </c:marker>
            <c:bubble3D val="0"/>
            <c:spPr>
              <a:ln w="15875" cap="flat" cmpd="sng" algn="ctr">
                <a:solidFill>
                  <a:srgbClr val="8064A2"/>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2-5127-407D-9280-6065430CA5B5}"/>
              </c:ext>
            </c:extLst>
          </c:dPt>
          <c:dLbls>
            <c:dLbl>
              <c:idx val="0"/>
              <c:delete val="1"/>
              <c:extLst>
                <c:ext xmlns:c15="http://schemas.microsoft.com/office/drawing/2012/chart" uri="{CE6537A1-D6FC-4f65-9D91-7224C49458BB}"/>
                <c:ext xmlns:c16="http://schemas.microsoft.com/office/drawing/2014/chart" uri="{C3380CC4-5D6E-409C-BE32-E72D297353CC}">
                  <c16:uniqueId val="{00000000-5127-407D-9280-6065430CA5B5}"/>
                </c:ext>
              </c:extLst>
            </c:dLbl>
            <c:dLbl>
              <c:idx val="1"/>
              <c:delete val="1"/>
              <c:extLst>
                <c:ext xmlns:c15="http://schemas.microsoft.com/office/drawing/2012/chart" uri="{CE6537A1-D6FC-4f65-9D91-7224C49458BB}"/>
                <c:ext xmlns:c16="http://schemas.microsoft.com/office/drawing/2014/chart" uri="{C3380CC4-5D6E-409C-BE32-E72D297353CC}">
                  <c16:uniqueId val="{00000002-5127-407D-9280-6065430CA5B5}"/>
                </c:ext>
              </c:extLst>
            </c:dLbl>
            <c:dLbl>
              <c:idx val="2"/>
              <c:delete val="1"/>
              <c:extLst>
                <c:ext xmlns:c15="http://schemas.microsoft.com/office/drawing/2012/chart" uri="{CE6537A1-D6FC-4f65-9D91-7224C49458BB}"/>
                <c:ext xmlns:c16="http://schemas.microsoft.com/office/drawing/2014/chart" uri="{C3380CC4-5D6E-409C-BE32-E72D297353CC}">
                  <c16:uniqueId val="{00000043-5127-407D-9280-6065430CA5B5}"/>
                </c:ext>
              </c:extLst>
            </c:dLbl>
            <c:dLbl>
              <c:idx val="3"/>
              <c:delete val="1"/>
              <c:extLst>
                <c:ext xmlns:c15="http://schemas.microsoft.com/office/drawing/2012/chart" uri="{CE6537A1-D6FC-4f65-9D91-7224C49458BB}"/>
                <c:ext xmlns:c16="http://schemas.microsoft.com/office/drawing/2014/chart" uri="{C3380CC4-5D6E-409C-BE32-E72D297353CC}">
                  <c16:uniqueId val="{00000046-5127-407D-9280-6065430CA5B5}"/>
                </c:ext>
              </c:extLst>
            </c:dLbl>
            <c:dLbl>
              <c:idx val="4"/>
              <c:delete val="1"/>
              <c:extLst>
                <c:ext xmlns:c15="http://schemas.microsoft.com/office/drawing/2012/chart" uri="{CE6537A1-D6FC-4f65-9D91-7224C49458BB}"/>
                <c:ext xmlns:c16="http://schemas.microsoft.com/office/drawing/2014/chart" uri="{C3380CC4-5D6E-409C-BE32-E72D297353CC}">
                  <c16:uniqueId val="{0000003E-5127-407D-9280-6065430CA5B5}"/>
                </c:ext>
              </c:extLst>
            </c:dLbl>
            <c:dLbl>
              <c:idx val="5"/>
              <c:delete val="1"/>
              <c:extLst>
                <c:ext xmlns:c15="http://schemas.microsoft.com/office/drawing/2012/chart" uri="{CE6537A1-D6FC-4f65-9D91-7224C49458BB}"/>
                <c:ext xmlns:c16="http://schemas.microsoft.com/office/drawing/2014/chart" uri="{C3380CC4-5D6E-409C-BE32-E72D297353CC}">
                  <c16:uniqueId val="{0000003D-5127-407D-9280-6065430CA5B5}"/>
                </c:ext>
              </c:extLst>
            </c:dLbl>
            <c:dLbl>
              <c:idx val="6"/>
              <c:delete val="1"/>
              <c:extLst>
                <c:ext xmlns:c15="http://schemas.microsoft.com/office/drawing/2012/chart" uri="{CE6537A1-D6FC-4f65-9D91-7224C49458BB}"/>
                <c:ext xmlns:c16="http://schemas.microsoft.com/office/drawing/2014/chart" uri="{C3380CC4-5D6E-409C-BE32-E72D297353CC}">
                  <c16:uniqueId val="{00000021-5127-407D-9280-6065430CA5B5}"/>
                </c:ext>
              </c:extLst>
            </c:dLbl>
            <c:dLbl>
              <c:idx val="7"/>
              <c:delete val="1"/>
              <c:extLst>
                <c:ext xmlns:c15="http://schemas.microsoft.com/office/drawing/2012/chart" uri="{CE6537A1-D6FC-4f65-9D91-7224C49458BB}"/>
                <c:ext xmlns:c16="http://schemas.microsoft.com/office/drawing/2014/chart" uri="{C3380CC4-5D6E-409C-BE32-E72D297353CC}">
                  <c16:uniqueId val="{00000023-5127-407D-9280-6065430CA5B5}"/>
                </c:ext>
              </c:extLst>
            </c:dLbl>
            <c:dLbl>
              <c:idx val="8"/>
              <c:delete val="1"/>
              <c:extLst>
                <c:ext xmlns:c15="http://schemas.microsoft.com/office/drawing/2012/chart" uri="{CE6537A1-D6FC-4f65-9D91-7224C49458BB}"/>
                <c:ext xmlns:c16="http://schemas.microsoft.com/office/drawing/2014/chart" uri="{C3380CC4-5D6E-409C-BE32-E72D297353CC}">
                  <c16:uniqueId val="{00000025-5127-407D-9280-6065430CA5B5}"/>
                </c:ext>
              </c:extLst>
            </c:dLbl>
            <c:dLbl>
              <c:idx val="9"/>
              <c:delete val="1"/>
              <c:extLst>
                <c:ext xmlns:c15="http://schemas.microsoft.com/office/drawing/2012/chart" uri="{CE6537A1-D6FC-4f65-9D91-7224C49458BB}"/>
                <c:ext xmlns:c16="http://schemas.microsoft.com/office/drawing/2014/chart" uri="{C3380CC4-5D6E-409C-BE32-E72D297353CC}">
                  <c16:uniqueId val="{00000036-5127-407D-9280-6065430CA5B5}"/>
                </c:ext>
              </c:extLst>
            </c:dLbl>
            <c:dLbl>
              <c:idx val="10"/>
              <c:delete val="1"/>
              <c:extLst>
                <c:ext xmlns:c15="http://schemas.microsoft.com/office/drawing/2012/chart" uri="{CE6537A1-D6FC-4f65-9D91-7224C49458BB}"/>
                <c:ext xmlns:c16="http://schemas.microsoft.com/office/drawing/2014/chart" uri="{C3380CC4-5D6E-409C-BE32-E72D297353CC}">
                  <c16:uniqueId val="{00000035-5127-407D-9280-6065430CA5B5}"/>
                </c:ext>
              </c:extLst>
            </c:dLbl>
            <c:dLbl>
              <c:idx val="11"/>
              <c:delete val="1"/>
              <c:extLst>
                <c:ext xmlns:c15="http://schemas.microsoft.com/office/drawing/2012/chart" uri="{CE6537A1-D6FC-4f65-9D91-7224C49458BB}"/>
                <c:ext xmlns:c16="http://schemas.microsoft.com/office/drawing/2014/chart" uri="{C3380CC4-5D6E-409C-BE32-E72D297353CC}">
                  <c16:uniqueId val="{00000033-5127-407D-9280-6065430CA5B5}"/>
                </c:ext>
              </c:extLst>
            </c:dLbl>
            <c:dLbl>
              <c:idx val="12"/>
              <c:delete val="1"/>
              <c:extLst>
                <c:ext xmlns:c15="http://schemas.microsoft.com/office/drawing/2012/chart" uri="{CE6537A1-D6FC-4f65-9D91-7224C49458BB}"/>
                <c:ext xmlns:c16="http://schemas.microsoft.com/office/drawing/2014/chart" uri="{C3380CC4-5D6E-409C-BE32-E72D297353CC}">
                  <c16:uniqueId val="{00000006-7966-462A-995A-68967F70F142}"/>
                </c:ext>
              </c:extLst>
            </c:dLbl>
            <c:dLbl>
              <c:idx val="13"/>
              <c:delete val="1"/>
              <c:extLst>
                <c:ext xmlns:c15="http://schemas.microsoft.com/office/drawing/2012/chart" uri="{CE6537A1-D6FC-4f65-9D91-7224C49458BB}"/>
                <c:ext xmlns:c16="http://schemas.microsoft.com/office/drawing/2014/chart" uri="{C3380CC4-5D6E-409C-BE32-E72D297353CC}">
                  <c16:uniqueId val="{00000005-44CB-4781-9D74-F189A5585201}"/>
                </c:ext>
              </c:extLst>
            </c:dLbl>
            <c:dLbl>
              <c:idx val="14"/>
              <c:delete val="1"/>
              <c:extLst>
                <c:ext xmlns:c15="http://schemas.microsoft.com/office/drawing/2012/chart" uri="{CE6537A1-D6FC-4f65-9D91-7224C49458BB}"/>
                <c:ext xmlns:c16="http://schemas.microsoft.com/office/drawing/2014/chart" uri="{C3380CC4-5D6E-409C-BE32-E72D297353CC}">
                  <c16:uniqueId val="{00000005-A896-4218-B71D-D4839C87FA2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lumOff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'Get Pivot'!$C$12:$C$27</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'Get Pivot'!$D$12:$D$27</c:f>
              <c:numCache>
                <c:formatCode>0%</c:formatCode>
                <c:ptCount val="16"/>
                <c:pt idx="0">
                  <c:v>0.2</c:v>
                </c:pt>
                <c:pt idx="1">
                  <c:v>0.20479999999999998</c:v>
                </c:pt>
                <c:pt idx="2">
                  <c:v>0.18480000000000002</c:v>
                </c:pt>
                <c:pt idx="3">
                  <c:v>0.17609999999999998</c:v>
                </c:pt>
                <c:pt idx="4">
                  <c:v>0.1439</c:v>
                </c:pt>
                <c:pt idx="5">
                  <c:v>0.1147</c:v>
                </c:pt>
                <c:pt idx="6">
                  <c:v>0.14610000000000001</c:v>
                </c:pt>
                <c:pt idx="7">
                  <c:v>0.1133</c:v>
                </c:pt>
                <c:pt idx="8">
                  <c:v>0.1052</c:v>
                </c:pt>
                <c:pt idx="9">
                  <c:v>8.4000000000000005E-2</c:v>
                </c:pt>
                <c:pt idx="10">
                  <c:v>7.4099999999999999E-2</c:v>
                </c:pt>
                <c:pt idx="11">
                  <c:v>7.1300000000000002E-2</c:v>
                </c:pt>
                <c:pt idx="12">
                  <c:v>5.4699999999999999E-2</c:v>
                </c:pt>
                <c:pt idx="13">
                  <c:v>5.6899999999999999E-2</c:v>
                </c:pt>
                <c:pt idx="14">
                  <c:v>7.032265526714844E-2</c:v>
                </c:pt>
                <c:pt idx="15">
                  <c:v>8.8999999999999996E-2</c:v>
                </c:pt>
              </c:numCache>
            </c:numRef>
          </c:val>
          <c:smooth val="0"/>
          <c:extLst>
            <c:ext xmlns:c16="http://schemas.microsoft.com/office/drawing/2014/chart" uri="{C3380CC4-5D6E-409C-BE32-E72D297353CC}">
              <c16:uniqueId val="{00000003-5127-407D-9280-6065430CA5B5}"/>
            </c:ext>
          </c:extLst>
        </c:ser>
        <c:ser>
          <c:idx val="1"/>
          <c:order val="1"/>
          <c:tx>
            <c:strRef>
              <c:f>'Get Pivot'!$E$11</c:f>
              <c:strCache>
                <c:ptCount val="1"/>
                <c:pt idx="0">
                  <c:v>About Right</c:v>
                </c:pt>
              </c:strCache>
            </c:strRef>
          </c:tx>
          <c:spPr>
            <a:ln w="15875" cap="rnd">
              <a:solidFill>
                <a:srgbClr val="9BBB59"/>
              </a:solidFill>
              <a:round/>
            </a:ln>
            <a:effectLst>
              <a:outerShdw blurRad="40000" dist="20000" dir="5400000" rotWithShape="0">
                <a:srgbClr val="000000">
                  <a:alpha val="38000"/>
                </a:srgbClr>
              </a:outerShdw>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4C-5127-407D-9280-6065430CA5B5}"/>
                </c:ext>
              </c:extLst>
            </c:dLbl>
            <c:dLbl>
              <c:idx val="1"/>
              <c:delete val="1"/>
              <c:extLst>
                <c:ext xmlns:c15="http://schemas.microsoft.com/office/drawing/2012/chart" uri="{CE6537A1-D6FC-4f65-9D91-7224C49458BB}"/>
                <c:ext xmlns:c16="http://schemas.microsoft.com/office/drawing/2014/chart" uri="{C3380CC4-5D6E-409C-BE32-E72D297353CC}">
                  <c16:uniqueId val="{00000049-5127-407D-9280-6065430CA5B5}"/>
                </c:ext>
              </c:extLst>
            </c:dLbl>
            <c:dLbl>
              <c:idx val="2"/>
              <c:delete val="1"/>
              <c:extLst>
                <c:ext xmlns:c15="http://schemas.microsoft.com/office/drawing/2012/chart" uri="{CE6537A1-D6FC-4f65-9D91-7224C49458BB}"/>
                <c:ext xmlns:c16="http://schemas.microsoft.com/office/drawing/2014/chart" uri="{C3380CC4-5D6E-409C-BE32-E72D297353CC}">
                  <c16:uniqueId val="{00000042-5127-407D-9280-6065430CA5B5}"/>
                </c:ext>
              </c:extLst>
            </c:dLbl>
            <c:dLbl>
              <c:idx val="3"/>
              <c:delete val="1"/>
              <c:extLst>
                <c:ext xmlns:c15="http://schemas.microsoft.com/office/drawing/2012/chart" uri="{CE6537A1-D6FC-4f65-9D91-7224C49458BB}"/>
                <c:ext xmlns:c16="http://schemas.microsoft.com/office/drawing/2014/chart" uri="{C3380CC4-5D6E-409C-BE32-E72D297353CC}">
                  <c16:uniqueId val="{00000045-5127-407D-9280-6065430CA5B5}"/>
                </c:ext>
              </c:extLst>
            </c:dLbl>
            <c:dLbl>
              <c:idx val="4"/>
              <c:delete val="1"/>
              <c:extLst>
                <c:ext xmlns:c15="http://schemas.microsoft.com/office/drawing/2012/chart" uri="{CE6537A1-D6FC-4f65-9D91-7224C49458BB}"/>
                <c:ext xmlns:c16="http://schemas.microsoft.com/office/drawing/2014/chart" uri="{C3380CC4-5D6E-409C-BE32-E72D297353CC}">
                  <c16:uniqueId val="{0000003C-5127-407D-9280-6065430CA5B5}"/>
                </c:ext>
              </c:extLst>
            </c:dLbl>
            <c:dLbl>
              <c:idx val="5"/>
              <c:delete val="1"/>
              <c:extLst>
                <c:ext xmlns:c15="http://schemas.microsoft.com/office/drawing/2012/chart" uri="{CE6537A1-D6FC-4f65-9D91-7224C49458BB}"/>
                <c:ext xmlns:c16="http://schemas.microsoft.com/office/drawing/2014/chart" uri="{C3380CC4-5D6E-409C-BE32-E72D297353CC}">
                  <c16:uniqueId val="{0000003B-5127-407D-9280-6065430CA5B5}"/>
                </c:ext>
              </c:extLst>
            </c:dLbl>
            <c:dLbl>
              <c:idx val="6"/>
              <c:delete val="1"/>
              <c:extLst>
                <c:ext xmlns:c15="http://schemas.microsoft.com/office/drawing/2012/chart" uri="{CE6537A1-D6FC-4f65-9D91-7224C49458BB}"/>
                <c:ext xmlns:c16="http://schemas.microsoft.com/office/drawing/2014/chart" uri="{C3380CC4-5D6E-409C-BE32-E72D297353CC}">
                  <c16:uniqueId val="{00000020-5127-407D-9280-6065430CA5B5}"/>
                </c:ext>
              </c:extLst>
            </c:dLbl>
            <c:dLbl>
              <c:idx val="7"/>
              <c:delete val="1"/>
              <c:extLst>
                <c:ext xmlns:c15="http://schemas.microsoft.com/office/drawing/2012/chart" uri="{CE6537A1-D6FC-4f65-9D91-7224C49458BB}"/>
                <c:ext xmlns:c16="http://schemas.microsoft.com/office/drawing/2014/chart" uri="{C3380CC4-5D6E-409C-BE32-E72D297353CC}">
                  <c16:uniqueId val="{0000001E-5127-407D-9280-6065430CA5B5}"/>
                </c:ext>
              </c:extLst>
            </c:dLbl>
            <c:dLbl>
              <c:idx val="8"/>
              <c:delete val="1"/>
              <c:extLst>
                <c:ext xmlns:c15="http://schemas.microsoft.com/office/drawing/2012/chart" uri="{CE6537A1-D6FC-4f65-9D91-7224C49458BB}"/>
                <c:ext xmlns:c16="http://schemas.microsoft.com/office/drawing/2014/chart" uri="{C3380CC4-5D6E-409C-BE32-E72D297353CC}">
                  <c16:uniqueId val="{0000001D-5127-407D-9280-6065430CA5B5}"/>
                </c:ext>
              </c:extLst>
            </c:dLbl>
            <c:dLbl>
              <c:idx val="9"/>
              <c:delete val="1"/>
              <c:extLst>
                <c:ext xmlns:c15="http://schemas.microsoft.com/office/drawing/2012/chart" uri="{CE6537A1-D6FC-4f65-9D91-7224C49458BB}"/>
                <c:ext xmlns:c16="http://schemas.microsoft.com/office/drawing/2014/chart" uri="{C3380CC4-5D6E-409C-BE32-E72D297353CC}">
                  <c16:uniqueId val="{0000001A-5127-407D-9280-6065430CA5B5}"/>
                </c:ext>
              </c:extLst>
            </c:dLbl>
            <c:dLbl>
              <c:idx val="10"/>
              <c:delete val="1"/>
              <c:extLst>
                <c:ext xmlns:c15="http://schemas.microsoft.com/office/drawing/2012/chart" uri="{CE6537A1-D6FC-4f65-9D91-7224C49458BB}"/>
                <c:ext xmlns:c16="http://schemas.microsoft.com/office/drawing/2014/chart" uri="{C3380CC4-5D6E-409C-BE32-E72D297353CC}">
                  <c16:uniqueId val="{00000019-5127-407D-9280-6065430CA5B5}"/>
                </c:ext>
              </c:extLst>
            </c:dLbl>
            <c:dLbl>
              <c:idx val="11"/>
              <c:delete val="1"/>
              <c:extLst>
                <c:ext xmlns:c15="http://schemas.microsoft.com/office/drawing/2012/chart" uri="{CE6537A1-D6FC-4f65-9D91-7224C49458BB}"/>
                <c:ext xmlns:c16="http://schemas.microsoft.com/office/drawing/2014/chart" uri="{C3380CC4-5D6E-409C-BE32-E72D297353CC}">
                  <c16:uniqueId val="{00000029-5127-407D-9280-6065430CA5B5}"/>
                </c:ext>
              </c:extLst>
            </c:dLbl>
            <c:dLbl>
              <c:idx val="12"/>
              <c:delete val="1"/>
              <c:extLst>
                <c:ext xmlns:c15="http://schemas.microsoft.com/office/drawing/2012/chart" uri="{CE6537A1-D6FC-4f65-9D91-7224C49458BB}"/>
                <c:ext xmlns:c16="http://schemas.microsoft.com/office/drawing/2014/chart" uri="{C3380CC4-5D6E-409C-BE32-E72D297353CC}">
                  <c16:uniqueId val="{00000004-7966-462A-995A-68967F70F142}"/>
                </c:ext>
              </c:extLst>
            </c:dLbl>
            <c:dLbl>
              <c:idx val="13"/>
              <c:delete val="1"/>
              <c:extLst>
                <c:ext xmlns:c15="http://schemas.microsoft.com/office/drawing/2012/chart" uri="{CE6537A1-D6FC-4f65-9D91-7224C49458BB}"/>
                <c:ext xmlns:c16="http://schemas.microsoft.com/office/drawing/2014/chart" uri="{C3380CC4-5D6E-409C-BE32-E72D297353CC}">
                  <c16:uniqueId val="{00000004-44CB-4781-9D74-F189A5585201}"/>
                </c:ext>
              </c:extLst>
            </c:dLbl>
            <c:dLbl>
              <c:idx val="14"/>
              <c:delete val="1"/>
              <c:extLst>
                <c:ext xmlns:c15="http://schemas.microsoft.com/office/drawing/2012/chart" uri="{CE6537A1-D6FC-4f65-9D91-7224C49458BB}"/>
                <c:ext xmlns:c16="http://schemas.microsoft.com/office/drawing/2014/chart" uri="{C3380CC4-5D6E-409C-BE32-E72D297353CC}">
                  <c16:uniqueId val="{00000004-A896-4218-B71D-D4839C87FA2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lumOff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'Get Pivot'!$C$12:$C$27</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'Get Pivot'!$E$12:$E$27</c:f>
              <c:numCache>
                <c:formatCode>0%</c:formatCode>
                <c:ptCount val="16"/>
                <c:pt idx="0">
                  <c:v>0.46</c:v>
                </c:pt>
                <c:pt idx="1">
                  <c:v>0.4249</c:v>
                </c:pt>
                <c:pt idx="2">
                  <c:v>0.38119999999999998</c:v>
                </c:pt>
                <c:pt idx="3">
                  <c:v>0.3579</c:v>
                </c:pt>
                <c:pt idx="4">
                  <c:v>0.37490000000000001</c:v>
                </c:pt>
                <c:pt idx="5">
                  <c:v>0.33700000000000002</c:v>
                </c:pt>
                <c:pt idx="6">
                  <c:v>0.38219999999999998</c:v>
                </c:pt>
                <c:pt idx="7">
                  <c:v>0.3523</c:v>
                </c:pt>
                <c:pt idx="8">
                  <c:v>0.36969999999999997</c:v>
                </c:pt>
                <c:pt idx="9">
                  <c:v>0.35349999999999998</c:v>
                </c:pt>
                <c:pt idx="10">
                  <c:v>0.30759999999999998</c:v>
                </c:pt>
                <c:pt idx="11">
                  <c:v>0.32819999999999999</c:v>
                </c:pt>
                <c:pt idx="12">
                  <c:v>0.34420000000000001</c:v>
                </c:pt>
                <c:pt idx="13">
                  <c:v>0.30409999999999998</c:v>
                </c:pt>
                <c:pt idx="14">
                  <c:v>0.2757</c:v>
                </c:pt>
                <c:pt idx="15">
                  <c:v>0.29149999999999998</c:v>
                </c:pt>
              </c:numCache>
            </c:numRef>
          </c:val>
          <c:smooth val="0"/>
          <c:extLst>
            <c:ext xmlns:c16="http://schemas.microsoft.com/office/drawing/2014/chart" uri="{C3380CC4-5D6E-409C-BE32-E72D297353CC}">
              <c16:uniqueId val="{00000004-5127-407D-9280-6065430CA5B5}"/>
            </c:ext>
          </c:extLst>
        </c:ser>
        <c:ser>
          <c:idx val="2"/>
          <c:order val="2"/>
          <c:tx>
            <c:strRef>
              <c:f>'Get Pivot'!$F$11</c:f>
              <c:strCache>
                <c:ptCount val="1"/>
                <c:pt idx="0">
                  <c:v>Not Enough</c:v>
                </c:pt>
              </c:strCache>
            </c:strRef>
          </c:tx>
          <c:spPr>
            <a:ln w="15875" cap="rnd">
              <a:solidFill>
                <a:srgbClr val="C0504D"/>
              </a:solidFill>
              <a:round/>
            </a:ln>
            <a:effectLst>
              <a:outerShdw blurRad="40000" dist="20000" dir="5400000" rotWithShape="0">
                <a:srgbClr val="000000">
                  <a:alpha val="38000"/>
                </a:srgbClr>
              </a:outerShdw>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4B-5127-407D-9280-6065430CA5B5}"/>
                </c:ext>
              </c:extLst>
            </c:dLbl>
            <c:dLbl>
              <c:idx val="1"/>
              <c:delete val="1"/>
              <c:extLst>
                <c:ext xmlns:c15="http://schemas.microsoft.com/office/drawing/2012/chart" uri="{CE6537A1-D6FC-4f65-9D91-7224C49458BB}"/>
                <c:ext xmlns:c16="http://schemas.microsoft.com/office/drawing/2014/chart" uri="{C3380CC4-5D6E-409C-BE32-E72D297353CC}">
                  <c16:uniqueId val="{00000048-5127-407D-9280-6065430CA5B5}"/>
                </c:ext>
              </c:extLst>
            </c:dLbl>
            <c:dLbl>
              <c:idx val="2"/>
              <c:delete val="1"/>
              <c:extLst>
                <c:ext xmlns:c15="http://schemas.microsoft.com/office/drawing/2012/chart" uri="{CE6537A1-D6FC-4f65-9D91-7224C49458BB}"/>
                <c:ext xmlns:c16="http://schemas.microsoft.com/office/drawing/2014/chart" uri="{C3380CC4-5D6E-409C-BE32-E72D297353CC}">
                  <c16:uniqueId val="{00000041-5127-407D-9280-6065430CA5B5}"/>
                </c:ext>
              </c:extLst>
            </c:dLbl>
            <c:dLbl>
              <c:idx val="3"/>
              <c:delete val="1"/>
              <c:extLst>
                <c:ext xmlns:c15="http://schemas.microsoft.com/office/drawing/2012/chart" uri="{CE6537A1-D6FC-4f65-9D91-7224C49458BB}"/>
                <c:ext xmlns:c16="http://schemas.microsoft.com/office/drawing/2014/chart" uri="{C3380CC4-5D6E-409C-BE32-E72D297353CC}">
                  <c16:uniqueId val="{00000044-5127-407D-9280-6065430CA5B5}"/>
                </c:ext>
              </c:extLst>
            </c:dLbl>
            <c:dLbl>
              <c:idx val="4"/>
              <c:delete val="1"/>
              <c:extLst>
                <c:ext xmlns:c15="http://schemas.microsoft.com/office/drawing/2012/chart" uri="{CE6537A1-D6FC-4f65-9D91-7224C49458BB}"/>
                <c:ext xmlns:c16="http://schemas.microsoft.com/office/drawing/2014/chart" uri="{C3380CC4-5D6E-409C-BE32-E72D297353CC}">
                  <c16:uniqueId val="{0000003A-5127-407D-9280-6065430CA5B5}"/>
                </c:ext>
              </c:extLst>
            </c:dLbl>
            <c:dLbl>
              <c:idx val="5"/>
              <c:delete val="1"/>
              <c:extLst>
                <c:ext xmlns:c15="http://schemas.microsoft.com/office/drawing/2012/chart" uri="{CE6537A1-D6FC-4f65-9D91-7224C49458BB}"/>
                <c:ext xmlns:c16="http://schemas.microsoft.com/office/drawing/2014/chart" uri="{C3380CC4-5D6E-409C-BE32-E72D297353CC}">
                  <c16:uniqueId val="{00000039-5127-407D-9280-6065430CA5B5}"/>
                </c:ext>
              </c:extLst>
            </c:dLbl>
            <c:dLbl>
              <c:idx val="6"/>
              <c:delete val="1"/>
              <c:extLst>
                <c:ext xmlns:c15="http://schemas.microsoft.com/office/drawing/2012/chart" uri="{CE6537A1-D6FC-4f65-9D91-7224C49458BB}"/>
                <c:ext xmlns:c16="http://schemas.microsoft.com/office/drawing/2014/chart" uri="{C3380CC4-5D6E-409C-BE32-E72D297353CC}">
                  <c16:uniqueId val="{0000001F-5127-407D-9280-6065430CA5B5}"/>
                </c:ext>
              </c:extLst>
            </c:dLbl>
            <c:dLbl>
              <c:idx val="7"/>
              <c:delete val="1"/>
              <c:extLst>
                <c:ext xmlns:c15="http://schemas.microsoft.com/office/drawing/2012/chart" uri="{CE6537A1-D6FC-4f65-9D91-7224C49458BB}"/>
                <c:ext xmlns:c16="http://schemas.microsoft.com/office/drawing/2014/chart" uri="{C3380CC4-5D6E-409C-BE32-E72D297353CC}">
                  <c16:uniqueId val="{0000001C-5127-407D-9280-6065430CA5B5}"/>
                </c:ext>
              </c:extLst>
            </c:dLbl>
            <c:dLbl>
              <c:idx val="8"/>
              <c:delete val="1"/>
              <c:extLst>
                <c:ext xmlns:c15="http://schemas.microsoft.com/office/drawing/2012/chart" uri="{CE6537A1-D6FC-4f65-9D91-7224C49458BB}"/>
                <c:ext xmlns:c16="http://schemas.microsoft.com/office/drawing/2014/chart" uri="{C3380CC4-5D6E-409C-BE32-E72D297353CC}">
                  <c16:uniqueId val="{0000001B-5127-407D-9280-6065430CA5B5}"/>
                </c:ext>
              </c:extLst>
            </c:dLbl>
            <c:dLbl>
              <c:idx val="9"/>
              <c:delete val="1"/>
              <c:extLst>
                <c:ext xmlns:c15="http://schemas.microsoft.com/office/drawing/2012/chart" uri="{CE6537A1-D6FC-4f65-9D91-7224C49458BB}"/>
                <c:ext xmlns:c16="http://schemas.microsoft.com/office/drawing/2014/chart" uri="{C3380CC4-5D6E-409C-BE32-E72D297353CC}">
                  <c16:uniqueId val="{00000018-5127-407D-9280-6065430CA5B5}"/>
                </c:ext>
              </c:extLst>
            </c:dLbl>
            <c:dLbl>
              <c:idx val="10"/>
              <c:delete val="1"/>
              <c:extLst>
                <c:ext xmlns:c15="http://schemas.microsoft.com/office/drawing/2012/chart" uri="{CE6537A1-D6FC-4f65-9D91-7224C49458BB}"/>
                <c:ext xmlns:c16="http://schemas.microsoft.com/office/drawing/2014/chart" uri="{C3380CC4-5D6E-409C-BE32-E72D297353CC}">
                  <c16:uniqueId val="{00000017-5127-407D-9280-6065430CA5B5}"/>
                </c:ext>
              </c:extLst>
            </c:dLbl>
            <c:dLbl>
              <c:idx val="11"/>
              <c:delete val="1"/>
              <c:extLst>
                <c:ext xmlns:c15="http://schemas.microsoft.com/office/drawing/2012/chart" uri="{CE6537A1-D6FC-4f65-9D91-7224C49458BB}"/>
                <c:ext xmlns:c16="http://schemas.microsoft.com/office/drawing/2014/chart" uri="{C3380CC4-5D6E-409C-BE32-E72D297353CC}">
                  <c16:uniqueId val="{00000016-5127-407D-9280-6065430CA5B5}"/>
                </c:ext>
              </c:extLst>
            </c:dLbl>
            <c:dLbl>
              <c:idx val="12"/>
              <c:delete val="1"/>
              <c:extLst>
                <c:ext xmlns:c15="http://schemas.microsoft.com/office/drawing/2012/chart" uri="{CE6537A1-D6FC-4f65-9D91-7224C49458BB}"/>
                <c:ext xmlns:c16="http://schemas.microsoft.com/office/drawing/2014/chart" uri="{C3380CC4-5D6E-409C-BE32-E72D297353CC}">
                  <c16:uniqueId val="{00000003-7966-462A-995A-68967F70F142}"/>
                </c:ext>
              </c:extLst>
            </c:dLbl>
            <c:dLbl>
              <c:idx val="13"/>
              <c:delete val="1"/>
              <c:extLst>
                <c:ext xmlns:c15="http://schemas.microsoft.com/office/drawing/2012/chart" uri="{CE6537A1-D6FC-4f65-9D91-7224C49458BB}"/>
                <c:ext xmlns:c16="http://schemas.microsoft.com/office/drawing/2014/chart" uri="{C3380CC4-5D6E-409C-BE32-E72D297353CC}">
                  <c16:uniqueId val="{00000003-44CB-4781-9D74-F189A5585201}"/>
                </c:ext>
              </c:extLst>
            </c:dLbl>
            <c:dLbl>
              <c:idx val="14"/>
              <c:delete val="1"/>
              <c:extLst>
                <c:ext xmlns:c15="http://schemas.microsoft.com/office/drawing/2012/chart" uri="{CE6537A1-D6FC-4f65-9D91-7224C49458BB}"/>
                <c:ext xmlns:c16="http://schemas.microsoft.com/office/drawing/2014/chart" uri="{C3380CC4-5D6E-409C-BE32-E72D297353CC}">
                  <c16:uniqueId val="{00000003-A896-4218-B71D-D4839C87FA2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lumOff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'Get Pivot'!$C$12:$C$27</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'Get Pivot'!$F$12:$F$27</c:f>
              <c:numCache>
                <c:formatCode>0%</c:formatCode>
                <c:ptCount val="16"/>
                <c:pt idx="0">
                  <c:v>0.28999999999999998</c:v>
                </c:pt>
                <c:pt idx="1">
                  <c:v>0.31969999999999998</c:v>
                </c:pt>
                <c:pt idx="2">
                  <c:v>0.36040000000000005</c:v>
                </c:pt>
                <c:pt idx="3">
                  <c:v>0.36869999999999997</c:v>
                </c:pt>
                <c:pt idx="4">
                  <c:v>0.3821</c:v>
                </c:pt>
                <c:pt idx="5">
                  <c:v>0.41970000000000002</c:v>
                </c:pt>
                <c:pt idx="6">
                  <c:v>0.36799999999999999</c:v>
                </c:pt>
                <c:pt idx="7">
                  <c:v>0.38650000000000001</c:v>
                </c:pt>
                <c:pt idx="8">
                  <c:v>0.39290000000000003</c:v>
                </c:pt>
                <c:pt idx="9">
                  <c:v>0.39269999999999999</c:v>
                </c:pt>
                <c:pt idx="10">
                  <c:v>0.46129999999999999</c:v>
                </c:pt>
                <c:pt idx="11">
                  <c:v>0.44240000000000002</c:v>
                </c:pt>
                <c:pt idx="12">
                  <c:v>0.44929999999999998</c:v>
                </c:pt>
                <c:pt idx="13">
                  <c:v>0.4551</c:v>
                </c:pt>
                <c:pt idx="14">
                  <c:v>0.4919906881821271</c:v>
                </c:pt>
                <c:pt idx="15">
                  <c:v>0.50329999999999997</c:v>
                </c:pt>
              </c:numCache>
            </c:numRef>
          </c:val>
          <c:smooth val="0"/>
          <c:extLst>
            <c:ext xmlns:c16="http://schemas.microsoft.com/office/drawing/2014/chart" uri="{C3380CC4-5D6E-409C-BE32-E72D297353CC}">
              <c16:uniqueId val="{00000005-5127-407D-9280-6065430CA5B5}"/>
            </c:ext>
          </c:extLst>
        </c:ser>
        <c:dLbls>
          <c:dLblPos val="r"/>
          <c:showLegendKey val="0"/>
          <c:showVal val="1"/>
          <c:showCatName val="0"/>
          <c:showSerName val="0"/>
          <c:showPercent val="0"/>
          <c:showBubbleSize val="0"/>
        </c:dLbls>
        <c:smooth val="0"/>
        <c:axId val="671311520"/>
        <c:axId val="671315784"/>
      </c:lineChart>
      <c:catAx>
        <c:axId val="671311520"/>
        <c:scaling>
          <c:orientation val="minMax"/>
        </c:scaling>
        <c:delete val="0"/>
        <c:axPos val="b"/>
        <c:numFmt formatCode="General" sourceLinked="0"/>
        <c:majorTickMark val="none"/>
        <c:minorTickMark val="none"/>
        <c:tickLblPos val="nextTo"/>
        <c:spPr>
          <a:noFill/>
          <a:ln w="3175">
            <a:solidFill>
              <a:srgbClr val="7F7F7F"/>
            </a:solidFill>
          </a:ln>
          <a:effectLst/>
        </c:spPr>
        <c:txPr>
          <a:bodyPr rot="-5400000" spcFirstLastPara="1" vertOverflow="ellipsis"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5500000000000000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a:noFill/>
        </a:ln>
        <a:effectLst/>
      </c:spPr>
    </c:plotArea>
    <c:legend>
      <c:legendPos val="b"/>
      <c:layout>
        <c:manualLayout>
          <c:xMode val="edge"/>
          <c:yMode val="edge"/>
          <c:x val="0.21981375379418544"/>
          <c:y val="0.91749384188614225"/>
          <c:w val="0.57382924871016638"/>
          <c:h val="6.19490176899697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00119161662655"/>
          <c:y val="8.0991062826007515E-2"/>
          <c:w val="0.86925993597981266"/>
          <c:h val="0.59127462706402212"/>
        </c:manualLayout>
      </c:layout>
      <c:barChart>
        <c:barDir val="col"/>
        <c:grouping val="clustered"/>
        <c:varyColors val="0"/>
        <c:ser>
          <c:idx val="0"/>
          <c:order val="0"/>
          <c:tx>
            <c:strRef>
              <c:f>'Get Pivot'!$B$61</c:f>
              <c:strCache>
                <c:ptCount val="1"/>
                <c:pt idx="0">
                  <c:v>Support a ban</c:v>
                </c:pt>
              </c:strCache>
            </c:strRef>
          </c:tx>
          <c:spPr>
            <a:solidFill>
              <a:srgbClr val="D7E4BD"/>
            </a:solidFill>
            <a:ln w="9525" cap="flat" cmpd="sng" algn="ctr">
              <a:solidFill>
                <a:srgbClr val="9BBB59"/>
              </a:solidFill>
              <a:roun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0-5CF3-4573-AED2-7F0581616B4E}"/>
              </c:ext>
            </c:extLst>
          </c:dPt>
          <c:dPt>
            <c:idx val="1"/>
            <c:invertIfNegative val="0"/>
            <c:bubble3D val="0"/>
            <c:spPr>
              <a:solidFill>
                <a:srgbClr val="D7E4BD"/>
              </a:solidFill>
              <a:ln w="9525" cap="flat" cmpd="sng" algn="ctr">
                <a:solidFill>
                  <a:srgbClr val="9BBB59"/>
                </a:solidFill>
                <a:round/>
              </a:ln>
              <a:effectLst>
                <a:outerShdw blurRad="40000" dist="20000" dir="5400000" rotWithShape="0">
                  <a:srgbClr val="000000">
                    <a:alpha val="38000"/>
                  </a:srgbClr>
                </a:outerShdw>
              </a:effectLst>
              <a:sp3d contourW="9525">
                <a:contourClr>
                  <a:schemeClr val="bg1">
                    <a:lumMod val="75000"/>
                  </a:schemeClr>
                </a:contourClr>
              </a:sp3d>
            </c:spPr>
            <c:extLst>
              <c:ext xmlns:c16="http://schemas.microsoft.com/office/drawing/2014/chart" uri="{C3380CC4-5D6E-409C-BE32-E72D297353CC}">
                <c16:uniqueId val="{00000002-5CF3-4573-AED2-7F0581616B4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Pivot'!$A$62:$A$65</c:f>
              <c:strCache>
                <c:ptCount val="4"/>
                <c:pt idx="0">
                  <c:v>Outdoor seating in restaurants, pubs and cafes</c:v>
                </c:pt>
                <c:pt idx="1">
                  <c:v>All public transport waiting areas</c:v>
                </c:pt>
                <c:pt idx="2">
                  <c:v>University and college campuses</c:v>
                </c:pt>
                <c:pt idx="3">
                  <c:v>FE colleges</c:v>
                </c:pt>
              </c:strCache>
            </c:strRef>
          </c:cat>
          <c:val>
            <c:numRef>
              <c:f>'Get Pivot'!$B$62:$B$65</c:f>
              <c:numCache>
                <c:formatCode>0%</c:formatCode>
                <c:ptCount val="4"/>
                <c:pt idx="0">
                  <c:v>0.65739999999999998</c:v>
                </c:pt>
                <c:pt idx="1">
                  <c:v>0.80989999999999995</c:v>
                </c:pt>
                <c:pt idx="2">
                  <c:v>0.70250000000000001</c:v>
                </c:pt>
                <c:pt idx="3">
                  <c:v>0.73529999999999995</c:v>
                </c:pt>
              </c:numCache>
            </c:numRef>
          </c:val>
          <c:extLst>
            <c:ext xmlns:c16="http://schemas.microsoft.com/office/drawing/2014/chart" uri="{C3380CC4-5D6E-409C-BE32-E72D297353CC}">
              <c16:uniqueId val="{00000003-5CF3-4573-AED2-7F0581616B4E}"/>
            </c:ext>
          </c:extLst>
        </c:ser>
        <c:ser>
          <c:idx val="1"/>
          <c:order val="1"/>
          <c:tx>
            <c:strRef>
              <c:f>'Get Pivot'!$C$61</c:f>
              <c:strCache>
                <c:ptCount val="1"/>
                <c:pt idx="0">
                  <c:v>Oppose a ban</c:v>
                </c:pt>
              </c:strCache>
            </c:strRef>
          </c:tx>
          <c:spPr>
            <a:solidFill>
              <a:srgbClr val="D99694"/>
            </a:solidFill>
            <a:ln w="9525" cap="flat" cmpd="sng" algn="ctr">
              <a:solidFill>
                <a:srgbClr val="C0504D"/>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Pivot'!$A$62:$A$65</c:f>
              <c:strCache>
                <c:ptCount val="4"/>
                <c:pt idx="0">
                  <c:v>Outdoor seating in restaurants, pubs and cafes</c:v>
                </c:pt>
                <c:pt idx="1">
                  <c:v>All public transport waiting areas</c:v>
                </c:pt>
                <c:pt idx="2">
                  <c:v>University and college campuses</c:v>
                </c:pt>
                <c:pt idx="3">
                  <c:v>FE colleges</c:v>
                </c:pt>
              </c:strCache>
            </c:strRef>
          </c:cat>
          <c:val>
            <c:numRef>
              <c:f>'Get Pivot'!$C$62:$C$65</c:f>
              <c:numCache>
                <c:formatCode>0%</c:formatCode>
                <c:ptCount val="4"/>
                <c:pt idx="0">
                  <c:v>0.1855</c:v>
                </c:pt>
                <c:pt idx="1">
                  <c:v>8.2100000000000006E-2</c:v>
                </c:pt>
                <c:pt idx="2">
                  <c:v>0.1265</c:v>
                </c:pt>
                <c:pt idx="3">
                  <c:v>0.1096</c:v>
                </c:pt>
              </c:numCache>
            </c:numRef>
          </c:val>
          <c:extLst>
            <c:ext xmlns:c16="http://schemas.microsoft.com/office/drawing/2014/chart" uri="{C3380CC4-5D6E-409C-BE32-E72D297353CC}">
              <c16:uniqueId val="{00000004-5CF3-4573-AED2-7F0581616B4E}"/>
            </c:ext>
          </c:extLst>
        </c:ser>
        <c:dLbls>
          <c:dLblPos val="outEnd"/>
          <c:showLegendKey val="0"/>
          <c:showVal val="1"/>
          <c:showCatName val="0"/>
          <c:showSerName val="0"/>
          <c:showPercent val="0"/>
          <c:showBubbleSize val="0"/>
        </c:dLbls>
        <c:gapWidth val="200"/>
        <c:axId val="671311520"/>
        <c:axId val="671315784"/>
      </c:barChart>
      <c:catAx>
        <c:axId val="671311520"/>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a:noFill/>
        </a:ln>
        <a:effectLst/>
      </c:spPr>
    </c:plotArea>
    <c:legend>
      <c:legendPos val="b"/>
      <c:layout>
        <c:manualLayout>
          <c:xMode val="edge"/>
          <c:yMode val="edge"/>
          <c:x val="0.4202117990685969"/>
          <c:y val="0.82645011526843826"/>
          <c:w val="0.22875851449078016"/>
          <c:h val="0.1239794558935675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00119161662655"/>
          <c:y val="0.22867055555555554"/>
          <c:w val="0.86925993597981266"/>
          <c:h val="0.69371833333333333"/>
        </c:manualLayout>
      </c:layout>
      <c:bar3DChart>
        <c:barDir val="bar"/>
        <c:grouping val="clustered"/>
        <c:varyColors val="0"/>
        <c:ser>
          <c:idx val="0"/>
          <c:order val="0"/>
          <c:tx>
            <c:strRef>
              <c:f>'Get Pivot'!$A$50</c:f>
              <c:strCache>
                <c:ptCount val="1"/>
                <c:pt idx="0">
                  <c:v>Great Britain support for banning advertising and promotion of vapes (e-cigarettes) at point of sale</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invertIfNegative val="0"/>
          <c:dPt>
            <c:idx val="0"/>
            <c:invertIfNegative val="0"/>
            <c:bubble3D val="0"/>
            <c:spPr>
              <a:gradFill rotWithShape="1">
                <a:gsLst>
                  <a:gs pos="0">
                    <a:srgbClr val="FCDCB2">
                      <a:lumMod val="99000"/>
                    </a:srgbClr>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0-3A70-455F-8283-168C02F5822A}"/>
              </c:ext>
            </c:extLst>
          </c:dPt>
          <c:dPt>
            <c:idx val="1"/>
            <c:invertIfNegative val="0"/>
            <c:bubble3D val="0"/>
            <c:spPr>
              <a:gradFill rotWithShape="1">
                <a:gsLst>
                  <a:gs pos="17000">
                    <a:schemeClr val="bg1">
                      <a:lumMod val="91000"/>
                    </a:schemeClr>
                  </a:gs>
                  <a:gs pos="100000">
                    <a:schemeClr val="bg1">
                      <a:lumMod val="65000"/>
                    </a:schemeClr>
                  </a:gs>
                </a:gsLst>
                <a:lin ang="5400000" scaled="1"/>
              </a:gradFill>
              <a:ln w="9525" cap="flat" cmpd="sng" algn="ctr">
                <a:solidFill>
                  <a:schemeClr val="bg1">
                    <a:lumMod val="75000"/>
                  </a:schemeClr>
                </a:solidFill>
                <a:round/>
              </a:ln>
              <a:effectLst>
                <a:outerShdw blurRad="40000" dist="20000" dir="5400000" rotWithShape="0">
                  <a:srgbClr val="000000">
                    <a:alpha val="38000"/>
                  </a:srgbClr>
                </a:outerShdw>
              </a:effectLst>
              <a:sp3d contourW="9525">
                <a:contourClr>
                  <a:schemeClr val="bg1">
                    <a:lumMod val="75000"/>
                  </a:schemeClr>
                </a:contourClr>
              </a:sp3d>
            </c:spPr>
            <c:extLst>
              <c:ext xmlns:c16="http://schemas.microsoft.com/office/drawing/2014/chart" uri="{C3380CC4-5D6E-409C-BE32-E72D297353CC}">
                <c16:uniqueId val="{00000002-3A70-455F-8283-168C02F5822A}"/>
              </c:ext>
            </c:extLst>
          </c:dPt>
          <c:dLbls>
            <c:dLbl>
              <c:idx val="0"/>
              <c:layout>
                <c:manualLayout>
                  <c:x val="1.2944983818770227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70-455F-8283-168C02F5822A}"/>
                </c:ext>
              </c:extLst>
            </c:dLbl>
            <c:dLbl>
              <c:idx val="1"/>
              <c:layout>
                <c:manualLayout>
                  <c:x val="2.3300970873786311E-2"/>
                  <c:y val="-4.629629629629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70-455F-8283-168C02F5822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Pivot'!$E$44:$F$44</c:f>
              <c:strCache>
                <c:ptCount val="2"/>
                <c:pt idx="0">
                  <c:v>Support</c:v>
                </c:pt>
                <c:pt idx="1">
                  <c:v>Oppose</c:v>
                </c:pt>
              </c:strCache>
            </c:strRef>
          </c:cat>
          <c:val>
            <c:numRef>
              <c:f>'Get Pivot'!$B$50:$C$50</c:f>
              <c:numCache>
                <c:formatCode>0.00%</c:formatCode>
                <c:ptCount val="2"/>
                <c:pt idx="0">
                  <c:v>0.81110000000000004</c:v>
                </c:pt>
                <c:pt idx="1">
                  <c:v>4.8399999999999999E-2</c:v>
                </c:pt>
              </c:numCache>
            </c:numRef>
          </c:val>
          <c:extLst>
            <c:ext xmlns:c16="http://schemas.microsoft.com/office/drawing/2014/chart" uri="{C3380CC4-5D6E-409C-BE32-E72D297353CC}">
              <c16:uniqueId val="{00000003-3A70-455F-8283-168C02F5822A}"/>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457979432299642"/>
          <c:y val="0.22867060416928472"/>
          <c:w val="0.86925993597981266"/>
          <c:h val="0.69371833333333333"/>
        </c:manualLayout>
      </c:layout>
      <c:bar3DChart>
        <c:barDir val="bar"/>
        <c:grouping val="clustered"/>
        <c:varyColors val="0"/>
        <c:ser>
          <c:idx val="0"/>
          <c:order val="0"/>
          <c:tx>
            <c:strRef>
              <c:f>'Get Pivot'!$A$42</c:f>
              <c:strCache>
                <c:ptCount val="1"/>
                <c:pt idx="0">
                  <c:v>Great Britain support for tobacco retail licensing</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invertIfNegative val="0"/>
          <c:dPt>
            <c:idx val="0"/>
            <c:invertIfNegative val="0"/>
            <c:bubble3D val="0"/>
            <c:spPr>
              <a:gradFill rotWithShape="1">
                <a:gsLst>
                  <a:gs pos="0">
                    <a:srgbClr val="FCDCB2"/>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0-ED0D-4150-8C67-66533391CF07}"/>
              </c:ext>
            </c:extLst>
          </c:dPt>
          <c:dPt>
            <c:idx val="1"/>
            <c:invertIfNegative val="0"/>
            <c:bubble3D val="0"/>
            <c:spPr>
              <a:gradFill rotWithShape="1">
                <a:gsLst>
                  <a:gs pos="17000">
                    <a:schemeClr val="bg1">
                      <a:lumMod val="91000"/>
                    </a:schemeClr>
                  </a:gs>
                  <a:gs pos="100000">
                    <a:schemeClr val="bg1">
                      <a:lumMod val="65000"/>
                    </a:schemeClr>
                  </a:gs>
                </a:gsLst>
                <a:lin ang="5400000" scaled="1"/>
              </a:gradFill>
              <a:ln w="9525" cap="flat" cmpd="sng" algn="ctr">
                <a:solidFill>
                  <a:schemeClr val="bg1">
                    <a:lumMod val="75000"/>
                  </a:schemeClr>
                </a:solidFill>
                <a:round/>
              </a:ln>
              <a:effectLst>
                <a:outerShdw blurRad="40000" dist="20000" dir="5400000" rotWithShape="0">
                  <a:srgbClr val="000000">
                    <a:alpha val="38000"/>
                  </a:srgbClr>
                </a:outerShdw>
              </a:effectLst>
              <a:sp3d contourW="9525">
                <a:contourClr>
                  <a:schemeClr val="bg1">
                    <a:lumMod val="75000"/>
                  </a:schemeClr>
                </a:contourClr>
              </a:sp3d>
            </c:spPr>
            <c:extLst>
              <c:ext xmlns:c16="http://schemas.microsoft.com/office/drawing/2014/chart" uri="{C3380CC4-5D6E-409C-BE32-E72D297353CC}">
                <c16:uniqueId val="{00000002-ED0D-4150-8C67-66533391CF07}"/>
              </c:ext>
            </c:extLst>
          </c:dPt>
          <c:dLbls>
            <c:dLbl>
              <c:idx val="0"/>
              <c:layout>
                <c:manualLayout>
                  <c:x val="1.2944983818770227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0D-4150-8C67-66533391CF07}"/>
                </c:ext>
              </c:extLst>
            </c:dLbl>
            <c:dLbl>
              <c:idx val="1"/>
              <c:layout>
                <c:manualLayout>
                  <c:x val="2.3300970873786311E-2"/>
                  <c:y val="-4.629629629629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0D-4150-8C67-66533391CF0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Pivot'!$E$37:$F$37</c:f>
              <c:strCache>
                <c:ptCount val="2"/>
                <c:pt idx="0">
                  <c:v>Support</c:v>
                </c:pt>
                <c:pt idx="1">
                  <c:v>Oppose</c:v>
                </c:pt>
              </c:strCache>
            </c:strRef>
          </c:cat>
          <c:val>
            <c:numRef>
              <c:f>'Get Pivot'!$B$42:$C$42</c:f>
              <c:numCache>
                <c:formatCode>0.00%</c:formatCode>
                <c:ptCount val="2"/>
                <c:pt idx="0">
                  <c:v>0.86060000000000003</c:v>
                </c:pt>
                <c:pt idx="1">
                  <c:v>3.5999999999999997E-2</c:v>
                </c:pt>
              </c:numCache>
            </c:numRef>
          </c:val>
          <c:extLst>
            <c:ext xmlns:c16="http://schemas.microsoft.com/office/drawing/2014/chart" uri="{C3380CC4-5D6E-409C-BE32-E72D297353CC}">
              <c16:uniqueId val="{00000003-ED0D-4150-8C67-66533391CF07}"/>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00119161662655"/>
          <c:y val="0.22867055555555554"/>
          <c:w val="0.86925993597981266"/>
          <c:h val="0.69371833333333333"/>
        </c:manualLayout>
      </c:layout>
      <c:bar3DChart>
        <c:barDir val="bar"/>
        <c:grouping val="clustered"/>
        <c:varyColors val="0"/>
        <c:ser>
          <c:idx val="0"/>
          <c:order val="0"/>
          <c:tx>
            <c:strRef>
              <c:f>'Get Pivot'!$A$44</c:f>
              <c:strCache>
                <c:ptCount val="1"/>
                <c:pt idx="0">
                  <c:v>Great Britain support for printing health warnings on cigarette sticks to encourage smokers to quit</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invertIfNegative val="0"/>
          <c:dPt>
            <c:idx val="0"/>
            <c:invertIfNegative val="0"/>
            <c:bubble3D val="0"/>
            <c:spPr>
              <a:gradFill rotWithShape="1">
                <a:gsLst>
                  <a:gs pos="0">
                    <a:srgbClr val="FCDCB2"/>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2-F32B-499B-A04F-D99D67382C56}"/>
              </c:ext>
            </c:extLst>
          </c:dPt>
          <c:dPt>
            <c:idx val="1"/>
            <c:invertIfNegative val="0"/>
            <c:bubble3D val="0"/>
            <c:spPr>
              <a:gradFill rotWithShape="1">
                <a:gsLst>
                  <a:gs pos="35000">
                    <a:srgbClr val="E8E8E8"/>
                  </a:gs>
                  <a:gs pos="100000">
                    <a:schemeClr val="bg1">
                      <a:lumMod val="65000"/>
                    </a:schemeClr>
                  </a:gs>
                </a:gsLst>
                <a:lin ang="5400000" scaled="0"/>
              </a:gradFill>
              <a:ln w="9525" cap="flat" cmpd="sng" algn="ctr">
                <a:noFill/>
                <a:round/>
              </a:ln>
              <a:effectLst>
                <a:outerShdw blurRad="40000" dist="20000" dir="5400000" rotWithShape="0">
                  <a:srgbClr val="000000">
                    <a:alpha val="38000"/>
                  </a:srgbClr>
                </a:outerShdw>
              </a:effectLst>
              <a:sp3d/>
            </c:spPr>
            <c:extLst>
              <c:ext xmlns:c16="http://schemas.microsoft.com/office/drawing/2014/chart" uri="{C3380CC4-5D6E-409C-BE32-E72D297353CC}">
                <c16:uniqueId val="{00000001-F32B-499B-A04F-D99D67382C56}"/>
              </c:ext>
            </c:extLst>
          </c:dPt>
          <c:dLbls>
            <c:dLbl>
              <c:idx val="0"/>
              <c:layout>
                <c:manualLayout>
                  <c:x val="2.5271645313452971E-2"/>
                  <c:y val="7.07052149271513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2B-499B-A04F-D99D67382C56}"/>
                </c:ext>
              </c:extLst>
            </c:dLbl>
            <c:dLbl>
              <c:idx val="1"/>
              <c:layout>
                <c:manualLayout>
                  <c:x val="2.7798809844798222E-2"/>
                  <c:y val="1.296247299305027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2B-499B-A04F-D99D67382C5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Pivot'!$E$48:$F$48</c:f>
              <c:strCache>
                <c:ptCount val="2"/>
                <c:pt idx="0">
                  <c:v>Support</c:v>
                </c:pt>
                <c:pt idx="1">
                  <c:v>Oppose</c:v>
                </c:pt>
              </c:strCache>
            </c:strRef>
          </c:cat>
          <c:val>
            <c:numRef>
              <c:f>'Get Pivot'!$B$44:$C$44</c:f>
              <c:numCache>
                <c:formatCode>0.00%</c:formatCode>
                <c:ptCount val="2"/>
                <c:pt idx="0">
                  <c:v>0.70299999999999996</c:v>
                </c:pt>
                <c:pt idx="1">
                  <c:v>8.1900000000000001E-2</c:v>
                </c:pt>
              </c:numCache>
            </c:numRef>
          </c:val>
          <c:extLst>
            <c:ext xmlns:c16="http://schemas.microsoft.com/office/drawing/2014/chart" uri="{C3380CC4-5D6E-409C-BE32-E72D297353CC}">
              <c16:uniqueId val="{00000003-F32B-499B-A04F-D99D67382C56}"/>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00119161662655"/>
          <c:y val="0.22867055555555554"/>
          <c:w val="0.86925993597981266"/>
          <c:h val="0.69371833333333333"/>
        </c:manualLayout>
      </c:layout>
      <c:bar3DChart>
        <c:barDir val="bar"/>
        <c:grouping val="clustered"/>
        <c:varyColors val="0"/>
        <c:ser>
          <c:idx val="0"/>
          <c:order val="0"/>
          <c:tx>
            <c:strRef>
              <c:f>'Get Pivot'!$A$53</c:f>
              <c:strCache>
                <c:ptCount val="1"/>
                <c:pt idx="0">
                  <c:v>Great Britain support for organisations submitting evidence to government and parliamentary committees should be required to declare who they get their funding from</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invertIfNegative val="0"/>
          <c:dPt>
            <c:idx val="0"/>
            <c:invertIfNegative val="0"/>
            <c:bubble3D val="0"/>
            <c:spPr>
              <a:gradFill rotWithShape="1">
                <a:gsLst>
                  <a:gs pos="0">
                    <a:srgbClr val="FCDCB2">
                      <a:lumMod val="99000"/>
                    </a:srgbClr>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2-C7AA-432E-8267-53AF6DC3B447}"/>
              </c:ext>
            </c:extLst>
          </c:dPt>
          <c:dPt>
            <c:idx val="1"/>
            <c:invertIfNegative val="0"/>
            <c:bubble3D val="0"/>
            <c:spPr>
              <a:gradFill rotWithShape="1">
                <a:gsLst>
                  <a:gs pos="35000">
                    <a:srgbClr val="E8E8E8"/>
                  </a:gs>
                  <a:gs pos="100000">
                    <a:schemeClr val="bg1">
                      <a:lumMod val="65000"/>
                    </a:schemeClr>
                  </a:gs>
                </a:gsLst>
                <a:lin ang="5400000" scaled="0"/>
              </a:gradFill>
              <a:ln w="9525" cap="flat" cmpd="sng" algn="ctr">
                <a:noFill/>
                <a:round/>
              </a:ln>
              <a:effectLst>
                <a:outerShdw blurRad="40000" dist="20000" dir="5400000" rotWithShape="0">
                  <a:srgbClr val="000000">
                    <a:alpha val="38000"/>
                  </a:srgbClr>
                </a:outerShdw>
              </a:effectLst>
              <a:sp3d/>
            </c:spPr>
            <c:extLst>
              <c:ext xmlns:c16="http://schemas.microsoft.com/office/drawing/2014/chart" uri="{C3380CC4-5D6E-409C-BE32-E72D297353CC}">
                <c16:uniqueId val="{00000001-C7AA-432E-8267-53AF6DC3B447}"/>
              </c:ext>
            </c:extLst>
          </c:dPt>
          <c:dLbls>
            <c:dLbl>
              <c:idx val="0"/>
              <c:layout>
                <c:manualLayout>
                  <c:x val="2.5271645313452971E-2"/>
                  <c:y val="7.07052149271513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AA-432E-8267-53AF6DC3B447}"/>
                </c:ext>
              </c:extLst>
            </c:dLbl>
            <c:dLbl>
              <c:idx val="1"/>
              <c:layout>
                <c:manualLayout>
                  <c:x val="2.7798809844798222E-2"/>
                  <c:y val="1.296247299305027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AA-432E-8267-53AF6DC3B44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Pivot'!$E$48:$F$48</c:f>
              <c:strCache>
                <c:ptCount val="2"/>
                <c:pt idx="0">
                  <c:v>Support</c:v>
                </c:pt>
                <c:pt idx="1">
                  <c:v>Oppose</c:v>
                </c:pt>
              </c:strCache>
            </c:strRef>
          </c:cat>
          <c:val>
            <c:numRef>
              <c:f>'Get Pivot'!$B$53:$C$53</c:f>
              <c:numCache>
                <c:formatCode>0.00%</c:formatCode>
                <c:ptCount val="2"/>
                <c:pt idx="0">
                  <c:v>0.87670000000000003</c:v>
                </c:pt>
                <c:pt idx="1">
                  <c:v>7.1000000000000004E-3</c:v>
                </c:pt>
              </c:numCache>
            </c:numRef>
          </c:val>
          <c:extLst>
            <c:ext xmlns:c16="http://schemas.microsoft.com/office/drawing/2014/chart" uri="{C3380CC4-5D6E-409C-BE32-E72D297353CC}">
              <c16:uniqueId val="{00000003-C7AA-432E-8267-53AF6DC3B447}"/>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00119161662655"/>
          <c:y val="0.22867055555555554"/>
          <c:w val="0.86925993597981266"/>
          <c:h val="0.69371833333333333"/>
        </c:manualLayout>
      </c:layout>
      <c:bar3DChart>
        <c:barDir val="bar"/>
        <c:grouping val="clustered"/>
        <c:varyColors val="0"/>
        <c:ser>
          <c:idx val="0"/>
          <c:order val="0"/>
          <c:tx>
            <c:strRef>
              <c:f>'Get Pivot'!$A$45</c:f>
              <c:strCache>
                <c:ptCount val="1"/>
                <c:pt idx="0">
                  <c:v>Great Britain support for providing financial incentives to help pregnant women stop smoking</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invertIfNegative val="0"/>
          <c:dPt>
            <c:idx val="0"/>
            <c:invertIfNegative val="0"/>
            <c:bubble3D val="0"/>
            <c:spPr>
              <a:gradFill rotWithShape="1">
                <a:gsLst>
                  <a:gs pos="0">
                    <a:srgbClr val="FCDCB2"/>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2-EC04-4CE0-BD95-E25B60DF923F}"/>
              </c:ext>
            </c:extLst>
          </c:dPt>
          <c:dPt>
            <c:idx val="1"/>
            <c:invertIfNegative val="0"/>
            <c:bubble3D val="0"/>
            <c:spPr>
              <a:gradFill rotWithShape="1">
                <a:gsLst>
                  <a:gs pos="35000">
                    <a:srgbClr val="E8E8E8"/>
                  </a:gs>
                  <a:gs pos="100000">
                    <a:schemeClr val="bg1">
                      <a:lumMod val="65000"/>
                    </a:schemeClr>
                  </a:gs>
                </a:gsLst>
                <a:lin ang="5400000" scaled="0"/>
              </a:gradFill>
              <a:ln w="9525" cap="flat" cmpd="sng" algn="ctr">
                <a:noFill/>
                <a:round/>
              </a:ln>
              <a:effectLst>
                <a:outerShdw blurRad="40000" dist="20000" dir="5400000" rotWithShape="0">
                  <a:srgbClr val="000000">
                    <a:alpha val="38000"/>
                  </a:srgbClr>
                </a:outerShdw>
              </a:effectLst>
              <a:sp3d/>
            </c:spPr>
            <c:extLst>
              <c:ext xmlns:c16="http://schemas.microsoft.com/office/drawing/2014/chart" uri="{C3380CC4-5D6E-409C-BE32-E72D297353CC}">
                <c16:uniqueId val="{00000001-EC04-4CE0-BD95-E25B60DF923F}"/>
              </c:ext>
            </c:extLst>
          </c:dPt>
          <c:dLbls>
            <c:dLbl>
              <c:idx val="0"/>
              <c:layout>
                <c:manualLayout>
                  <c:x val="2.5271645313452971E-2"/>
                  <c:y val="7.07052149271513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04-4CE0-BD95-E25B60DF923F}"/>
                </c:ext>
              </c:extLst>
            </c:dLbl>
            <c:dLbl>
              <c:idx val="1"/>
              <c:layout>
                <c:manualLayout>
                  <c:x val="2.7798809844798222E-2"/>
                  <c:y val="1.296247299305027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04-4CE0-BD95-E25B60DF923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Pivot'!$E$48:$F$48</c:f>
              <c:strCache>
                <c:ptCount val="2"/>
                <c:pt idx="0">
                  <c:v>Support</c:v>
                </c:pt>
                <c:pt idx="1">
                  <c:v>Oppose</c:v>
                </c:pt>
              </c:strCache>
            </c:strRef>
          </c:cat>
          <c:val>
            <c:numRef>
              <c:f>'Get Pivot'!$B$45:$C$45</c:f>
              <c:numCache>
                <c:formatCode>0.00%</c:formatCode>
                <c:ptCount val="2"/>
                <c:pt idx="0">
                  <c:v>0.53269999999999995</c:v>
                </c:pt>
                <c:pt idx="1">
                  <c:v>0.24660000000000001</c:v>
                </c:pt>
              </c:numCache>
            </c:numRef>
          </c:val>
          <c:extLst>
            <c:ext xmlns:c16="http://schemas.microsoft.com/office/drawing/2014/chart" uri="{C3380CC4-5D6E-409C-BE32-E72D297353CC}">
              <c16:uniqueId val="{00000003-EC04-4CE0-BD95-E25B60DF923F}"/>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5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710600123326637"/>
          <c:y val="0.28511508012646714"/>
          <c:w val="0.86925993597981266"/>
          <c:h val="0.63727388888888892"/>
        </c:manualLayout>
      </c:layout>
      <c:bar3DChart>
        <c:barDir val="bar"/>
        <c:grouping val="clustered"/>
        <c:varyColors val="0"/>
        <c:ser>
          <c:idx val="0"/>
          <c:order val="0"/>
          <c:tx>
            <c:strRef>
              <c:f>'Get Pivot'!$A$38</c:f>
              <c:strCache>
                <c:ptCount val="1"/>
                <c:pt idx="0">
                  <c:v>Great Britain support for making it a legal requirement for retailers to check the ID of all people trying to purchase tobacco products</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rgbClr val="F7971D"/>
              </a:solidFill>
              <a:round/>
            </a:ln>
            <a:effectLst>
              <a:outerShdw blurRad="40000" dist="20000" dir="5400000" rotWithShape="0">
                <a:srgbClr val="000000">
                  <a:alpha val="38000"/>
                </a:srgbClr>
              </a:outerShdw>
            </a:effectLst>
            <a:sp3d contourW="9525">
              <a:contourClr>
                <a:srgbClr val="F7971D"/>
              </a:contourClr>
            </a:sp3d>
          </c:spPr>
          <c:invertIfNegative val="0"/>
          <c:dPt>
            <c:idx val="0"/>
            <c:invertIfNegative val="0"/>
            <c:bubble3D val="0"/>
            <c:spPr>
              <a:gradFill rotWithShape="1">
                <a:gsLst>
                  <a:gs pos="7000">
                    <a:srgbClr val="FCDCB2"/>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1-FAA7-4AF0-B0CC-3A2B6DED817F}"/>
              </c:ext>
            </c:extLst>
          </c:dPt>
          <c:dPt>
            <c:idx val="1"/>
            <c:invertIfNegative val="0"/>
            <c:bubble3D val="0"/>
            <c:spPr>
              <a:gradFill rotWithShape="1">
                <a:gsLst>
                  <a:gs pos="17000">
                    <a:schemeClr val="bg1">
                      <a:lumMod val="91000"/>
                    </a:schemeClr>
                  </a:gs>
                  <a:gs pos="100000">
                    <a:schemeClr val="bg1">
                      <a:lumMod val="65000"/>
                    </a:schemeClr>
                  </a:gs>
                </a:gsLst>
                <a:lin ang="5400000" scaled="1"/>
              </a:gradFill>
              <a:ln w="9525" cap="flat" cmpd="sng" algn="ctr">
                <a:solidFill>
                  <a:schemeClr val="bg1">
                    <a:lumMod val="75000"/>
                  </a:schemeClr>
                </a:solidFill>
                <a:round/>
              </a:ln>
              <a:effectLst>
                <a:outerShdw blurRad="40000" dist="20000" dir="5400000" rotWithShape="0">
                  <a:srgbClr val="000000">
                    <a:alpha val="38000"/>
                  </a:srgbClr>
                </a:outerShdw>
              </a:effectLst>
              <a:sp3d contourW="9525">
                <a:contourClr>
                  <a:schemeClr val="bg1">
                    <a:lumMod val="75000"/>
                  </a:schemeClr>
                </a:contourClr>
              </a:sp3d>
            </c:spPr>
            <c:extLst>
              <c:ext xmlns:c16="http://schemas.microsoft.com/office/drawing/2014/chart" uri="{C3380CC4-5D6E-409C-BE32-E72D297353CC}">
                <c16:uniqueId val="{00000003-FAA7-4AF0-B0CC-3A2B6DED817F}"/>
              </c:ext>
            </c:extLst>
          </c:dPt>
          <c:dLbls>
            <c:dLbl>
              <c:idx val="0"/>
              <c:layout>
                <c:manualLayout>
                  <c:x val="1.2944983818770227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A7-4AF0-B0CC-3A2B6DED817F}"/>
                </c:ext>
              </c:extLst>
            </c:dLbl>
            <c:dLbl>
              <c:idx val="1"/>
              <c:layout>
                <c:manualLayout>
                  <c:x val="2.3300970873786311E-2"/>
                  <c:y val="-4.629629629629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A7-4AF0-B0CC-3A2B6DED817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Pivot'!$E$41:$F$41</c:f>
              <c:strCache>
                <c:ptCount val="2"/>
                <c:pt idx="0">
                  <c:v>Support</c:v>
                </c:pt>
                <c:pt idx="1">
                  <c:v>Oppose</c:v>
                </c:pt>
              </c:strCache>
            </c:strRef>
          </c:cat>
          <c:val>
            <c:numRef>
              <c:f>'Get Pivot'!$B$38:$C$38</c:f>
              <c:numCache>
                <c:formatCode>0.00%</c:formatCode>
                <c:ptCount val="2"/>
                <c:pt idx="0">
                  <c:v>0.71579999999999999</c:v>
                </c:pt>
                <c:pt idx="1">
                  <c:v>0.1095</c:v>
                </c:pt>
              </c:numCache>
            </c:numRef>
          </c:val>
          <c:extLst>
            <c:ext xmlns:c16="http://schemas.microsoft.com/office/drawing/2014/chart" uri="{C3380CC4-5D6E-409C-BE32-E72D297353CC}">
              <c16:uniqueId val="{00000004-FAA7-4AF0-B0CC-3A2B6DED817F}"/>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00119161662655"/>
          <c:y val="0.22867055555555554"/>
          <c:w val="0.86925993597981266"/>
          <c:h val="0.69371833333333333"/>
        </c:manualLayout>
      </c:layout>
      <c:bar3DChart>
        <c:barDir val="bar"/>
        <c:grouping val="clustered"/>
        <c:varyColors val="0"/>
        <c:ser>
          <c:idx val="0"/>
          <c:order val="0"/>
          <c:tx>
            <c:strRef>
              <c:f>'Get Pivot'!$A$54</c:f>
              <c:strCache>
                <c:ptCount val="1"/>
                <c:pt idx="0">
                  <c:v>Great Britain support for Government health policy being protected from the influence of the tobacco industry and its representatives</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invertIfNegative val="0"/>
          <c:dPt>
            <c:idx val="0"/>
            <c:invertIfNegative val="0"/>
            <c:bubble3D val="0"/>
            <c:spPr>
              <a:gradFill rotWithShape="1">
                <a:gsLst>
                  <a:gs pos="0">
                    <a:srgbClr val="FCDCB2">
                      <a:lumMod val="99000"/>
                    </a:srgbClr>
                  </a:gs>
                  <a:gs pos="100000">
                    <a:srgbClr val="F7971D"/>
                  </a:gs>
                </a:gsLst>
                <a:lin ang="5400000" scaled="1"/>
              </a:gradFill>
              <a:ln w="9525" cap="flat" cmpd="sng" algn="ctr">
                <a:solidFill>
                  <a:srgbClr val="FCDCB2"/>
                </a:solidFill>
                <a:round/>
              </a:ln>
              <a:effectLst>
                <a:outerShdw blurRad="40000" dist="20000" dir="5400000" rotWithShape="0">
                  <a:srgbClr val="000000">
                    <a:alpha val="38000"/>
                  </a:srgbClr>
                </a:outerShdw>
              </a:effectLst>
              <a:sp3d contourW="9525">
                <a:contourClr>
                  <a:srgbClr val="FCDCB2"/>
                </a:contourClr>
              </a:sp3d>
            </c:spPr>
            <c:extLst>
              <c:ext xmlns:c16="http://schemas.microsoft.com/office/drawing/2014/chart" uri="{C3380CC4-5D6E-409C-BE32-E72D297353CC}">
                <c16:uniqueId val="{00000001-88B0-42A5-BA08-E7513BFB2990}"/>
              </c:ext>
            </c:extLst>
          </c:dPt>
          <c:dPt>
            <c:idx val="1"/>
            <c:invertIfNegative val="0"/>
            <c:bubble3D val="0"/>
            <c:spPr>
              <a:gradFill rotWithShape="1">
                <a:gsLst>
                  <a:gs pos="35000">
                    <a:srgbClr val="E8E8E8"/>
                  </a:gs>
                  <a:gs pos="100000">
                    <a:schemeClr val="bg1">
                      <a:lumMod val="65000"/>
                    </a:schemeClr>
                  </a:gs>
                </a:gsLst>
                <a:lin ang="5400000" scaled="0"/>
              </a:gradFill>
              <a:ln w="9525" cap="flat" cmpd="sng" algn="ctr">
                <a:noFill/>
                <a:round/>
              </a:ln>
              <a:effectLst>
                <a:outerShdw blurRad="40000" dist="20000" dir="5400000" rotWithShape="0">
                  <a:srgbClr val="000000">
                    <a:alpha val="38000"/>
                  </a:srgbClr>
                </a:outerShdw>
              </a:effectLst>
              <a:sp3d/>
            </c:spPr>
            <c:extLst>
              <c:ext xmlns:c16="http://schemas.microsoft.com/office/drawing/2014/chart" uri="{C3380CC4-5D6E-409C-BE32-E72D297353CC}">
                <c16:uniqueId val="{00000003-88B0-42A5-BA08-E7513BFB2990}"/>
              </c:ext>
            </c:extLst>
          </c:dPt>
          <c:dLbls>
            <c:dLbl>
              <c:idx val="0"/>
              <c:layout>
                <c:manualLayout>
                  <c:x val="2.5271645313452971E-2"/>
                  <c:y val="7.07052149271513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B0-42A5-BA08-E7513BFB2990}"/>
                </c:ext>
              </c:extLst>
            </c:dLbl>
            <c:dLbl>
              <c:idx val="1"/>
              <c:layout>
                <c:manualLayout>
                  <c:x val="2.7798809844798222E-2"/>
                  <c:y val="1.296247299305027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B0-42A5-BA08-E7513BFB299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'Get Pivot'!$E$54:$F$54</c:f>
              <c:strCache>
                <c:ptCount val="2"/>
                <c:pt idx="0">
                  <c:v>Support</c:v>
                </c:pt>
                <c:pt idx="1">
                  <c:v>Oppose</c:v>
                </c:pt>
              </c:strCache>
            </c:strRef>
          </c:cat>
          <c:val>
            <c:numRef>
              <c:f>'Get Pivot'!$B$54:$C$54</c:f>
              <c:numCache>
                <c:formatCode>0.00%</c:formatCode>
                <c:ptCount val="2"/>
                <c:pt idx="0">
                  <c:v>0.78449999999999998</c:v>
                </c:pt>
                <c:pt idx="1">
                  <c:v>2.1399999999999999E-2</c:v>
                </c:pt>
              </c:numCache>
            </c:numRef>
          </c:val>
          <c:extLst>
            <c:ext xmlns:c16="http://schemas.microsoft.com/office/drawing/2014/chart" uri="{C3380CC4-5D6E-409C-BE32-E72D297353CC}">
              <c16:uniqueId val="{00000004-88B0-42A5-BA08-E7513BFB2990}"/>
            </c:ext>
          </c:extLst>
        </c:ser>
        <c:dLbls>
          <c:showLegendKey val="0"/>
          <c:showVal val="0"/>
          <c:showCatName val="0"/>
          <c:showSerName val="0"/>
          <c:showPercent val="0"/>
          <c:showBubbleSize val="0"/>
        </c:dLbls>
        <c:gapWidth val="150"/>
        <c:shape val="box"/>
        <c:axId val="671311520"/>
        <c:axId val="671315784"/>
        <c:axId val="0"/>
      </c:bar3DChart>
      <c:catAx>
        <c:axId val="671311520"/>
        <c:scaling>
          <c:orientation val="maxMin"/>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n-US"/>
          </a:p>
        </c:txPr>
        <c:crossAx val="671315784"/>
        <c:crossesAt val="0"/>
        <c:auto val="1"/>
        <c:lblAlgn val="ctr"/>
        <c:lblOffset val="100"/>
        <c:noMultiLvlLbl val="0"/>
      </c:catAx>
      <c:valAx>
        <c:axId val="671315784"/>
        <c:scaling>
          <c:orientation val="minMax"/>
          <c:max val="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1311520"/>
        <c:crosses val="autoZero"/>
        <c:crossBetween val="between"/>
        <c:majorUnit val="0.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222250</xdr:colOff>
      <xdr:row>38</xdr:row>
      <xdr:rowOff>25400</xdr:rowOff>
    </xdr:from>
    <xdr:to>
      <xdr:col>10</xdr:col>
      <xdr:colOff>351790</xdr:colOff>
      <xdr:row>47</xdr:row>
      <xdr:rowOff>60100</xdr:rowOff>
    </xdr:to>
    <xdr:graphicFrame macro="">
      <xdr:nvGraphicFramePr>
        <xdr:cNvPr id="10" name="Chart 9">
          <a:extLst>
            <a:ext uri="{FF2B5EF4-FFF2-40B4-BE49-F238E27FC236}">
              <a16:creationId xmlns:a16="http://schemas.microsoft.com/office/drawing/2014/main" id="{5DFD6DCD-103F-4C98-9E88-F3557F2A0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261159</xdr:colOff>
      <xdr:row>1</xdr:row>
      <xdr:rowOff>79375</xdr:rowOff>
    </xdr:from>
    <xdr:to>
      <xdr:col>10</xdr:col>
      <xdr:colOff>568009</xdr:colOff>
      <xdr:row>3</xdr:row>
      <xdr:rowOff>72795</xdr:rowOff>
    </xdr:to>
    <xdr:pic>
      <xdr:nvPicPr>
        <xdr:cNvPr id="3" name="Picture 2">
          <a:extLst>
            <a:ext uri="{FF2B5EF4-FFF2-40B4-BE49-F238E27FC236}">
              <a16:creationId xmlns:a16="http://schemas.microsoft.com/office/drawing/2014/main" id="{0C816217-EABA-4D0A-B381-668D1D38F8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28359" y="262255"/>
          <a:ext cx="1346980" cy="810665"/>
        </a:xfrm>
        <a:prstGeom prst="rect">
          <a:avLst/>
        </a:prstGeom>
      </xdr:spPr>
    </xdr:pic>
    <xdr:clientData fLocksWithSheet="0"/>
  </xdr:twoCellAnchor>
  <xdr:twoCellAnchor editAs="oneCell">
    <xdr:from>
      <xdr:col>13</xdr:col>
      <xdr:colOff>136684</xdr:colOff>
      <xdr:row>1</xdr:row>
      <xdr:rowOff>50800</xdr:rowOff>
    </xdr:from>
    <xdr:to>
      <xdr:col>16</xdr:col>
      <xdr:colOff>245110</xdr:colOff>
      <xdr:row>13</xdr:row>
      <xdr:rowOff>121920</xdr:rowOff>
    </xdr:to>
    <mc:AlternateContent xmlns:mc="http://schemas.openxmlformats.org/markup-compatibility/2006" xmlns:a14="http://schemas.microsoft.com/office/drawing/2010/main">
      <mc:Choice Requires="a14">
        <xdr:graphicFrame macro="">
          <xdr:nvGraphicFramePr>
            <xdr:cNvPr id="17" name=" ">
              <a:extLst>
                <a:ext uri="{FF2B5EF4-FFF2-40B4-BE49-F238E27FC236}">
                  <a16:creationId xmlns:a16="http://schemas.microsoft.com/office/drawing/2014/main" id="{033A0750-60E3-4669-9BAB-E8A5B90B566C}"/>
                </a:ext>
              </a:extLst>
            </xdr:cNvPr>
            <xdr:cNvGraphicFramePr/>
          </xdr:nvGraphicFramePr>
          <xdr:xfrm>
            <a:off x="0" y="0"/>
            <a:ext cx="0" cy="0"/>
          </xdr:xfrm>
          <a:graphic>
            <a:graphicData uri="http://schemas.microsoft.com/office/drawing/2010/slicer">
              <sle:slicer xmlns:sle="http://schemas.microsoft.com/office/drawing/2010/slicer" name=" "/>
            </a:graphicData>
          </a:graphic>
        </xdr:graphicFrame>
      </mc:Choice>
      <mc:Fallback xmlns="">
        <xdr:sp macro="" textlink="">
          <xdr:nvSpPr>
            <xdr:cNvPr id="0" name=""/>
            <xdr:cNvSpPr>
              <a:spLocks noTextEdit="1"/>
            </xdr:cNvSpPr>
          </xdr:nvSpPr>
          <xdr:spPr>
            <a:xfrm>
              <a:off x="6863874" y="237173"/>
              <a:ext cx="1997234" cy="331025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45720</xdr:colOff>
      <xdr:row>80</xdr:row>
      <xdr:rowOff>22860</xdr:rowOff>
    </xdr:from>
    <xdr:to>
      <xdr:col>11</xdr:col>
      <xdr:colOff>15240</xdr:colOff>
      <xdr:row>89</xdr:row>
      <xdr:rowOff>43590</xdr:rowOff>
    </xdr:to>
    <xdr:graphicFrame macro="">
      <xdr:nvGraphicFramePr>
        <xdr:cNvPr id="19" name="Chart 18">
          <a:extLst>
            <a:ext uri="{FF2B5EF4-FFF2-40B4-BE49-F238E27FC236}">
              <a16:creationId xmlns:a16="http://schemas.microsoft.com/office/drawing/2014/main" id="{6B8ED703-6119-442C-870F-516CD4D2A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30480</xdr:colOff>
      <xdr:row>93</xdr:row>
      <xdr:rowOff>182880</xdr:rowOff>
    </xdr:from>
    <xdr:to>
      <xdr:col>11</xdr:col>
      <xdr:colOff>15240</xdr:colOff>
      <xdr:row>103</xdr:row>
      <xdr:rowOff>68355</xdr:rowOff>
    </xdr:to>
    <xdr:graphicFrame macro="">
      <xdr:nvGraphicFramePr>
        <xdr:cNvPr id="20" name="Chart 19">
          <a:extLst>
            <a:ext uri="{FF2B5EF4-FFF2-40B4-BE49-F238E27FC236}">
              <a16:creationId xmlns:a16="http://schemas.microsoft.com/office/drawing/2014/main" id="{313904FD-EFFA-4119-9A3C-14FEBA7D3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155</xdr:row>
      <xdr:rowOff>15240</xdr:rowOff>
    </xdr:from>
    <xdr:to>
      <xdr:col>10</xdr:col>
      <xdr:colOff>617220</xdr:colOff>
      <xdr:row>164</xdr:row>
      <xdr:rowOff>98835</xdr:rowOff>
    </xdr:to>
    <xdr:graphicFrame macro="">
      <xdr:nvGraphicFramePr>
        <xdr:cNvPr id="12" name="Chart 11">
          <a:extLst>
            <a:ext uri="{FF2B5EF4-FFF2-40B4-BE49-F238E27FC236}">
              <a16:creationId xmlns:a16="http://schemas.microsoft.com/office/drawing/2014/main" id="{C9600847-76F8-44FC-BDE8-716A9E9DC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30480</xdr:colOff>
      <xdr:row>139</xdr:row>
      <xdr:rowOff>175260</xdr:rowOff>
    </xdr:from>
    <xdr:to>
      <xdr:col>11</xdr:col>
      <xdr:colOff>15240</xdr:colOff>
      <xdr:row>149</xdr:row>
      <xdr:rowOff>66450</xdr:rowOff>
    </xdr:to>
    <xdr:graphicFrame macro="">
      <xdr:nvGraphicFramePr>
        <xdr:cNvPr id="14" name="Chart 13">
          <a:extLst>
            <a:ext uri="{FF2B5EF4-FFF2-40B4-BE49-F238E27FC236}">
              <a16:creationId xmlns:a16="http://schemas.microsoft.com/office/drawing/2014/main" id="{524BB9EE-37CF-42F2-9E82-17DC42689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26669</xdr:colOff>
      <xdr:row>12</xdr:row>
      <xdr:rowOff>133350</xdr:rowOff>
    </xdr:from>
    <xdr:to>
      <xdr:col>12</xdr:col>
      <xdr:colOff>331469</xdr:colOff>
      <xdr:row>33</xdr:row>
      <xdr:rowOff>63499</xdr:rowOff>
    </xdr:to>
    <xdr:graphicFrame macro="">
      <xdr:nvGraphicFramePr>
        <xdr:cNvPr id="11" name="Chart 10">
          <a:extLst>
            <a:ext uri="{FF2B5EF4-FFF2-40B4-BE49-F238E27FC236}">
              <a16:creationId xmlns:a16="http://schemas.microsoft.com/office/drawing/2014/main" id="{0DDC814B-912B-419D-8640-0E4DC8A5C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167640</xdr:colOff>
      <xdr:row>216</xdr:row>
      <xdr:rowOff>0</xdr:rowOff>
    </xdr:from>
    <xdr:to>
      <xdr:col>10</xdr:col>
      <xdr:colOff>609600</xdr:colOff>
      <xdr:row>233</xdr:row>
      <xdr:rowOff>22860</xdr:rowOff>
    </xdr:to>
    <xdr:graphicFrame macro="">
      <xdr:nvGraphicFramePr>
        <xdr:cNvPr id="13" name="Chart 12">
          <a:extLst>
            <a:ext uri="{FF2B5EF4-FFF2-40B4-BE49-F238E27FC236}">
              <a16:creationId xmlns:a16="http://schemas.microsoft.com/office/drawing/2014/main" id="{711EBBCE-63E6-4A8A-9AF3-989660485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28575</xdr:colOff>
      <xdr:row>169</xdr:row>
      <xdr:rowOff>171450</xdr:rowOff>
    </xdr:from>
    <xdr:to>
      <xdr:col>10</xdr:col>
      <xdr:colOff>619125</xdr:colOff>
      <xdr:row>179</xdr:row>
      <xdr:rowOff>74070</xdr:rowOff>
    </xdr:to>
    <xdr:graphicFrame macro="">
      <xdr:nvGraphicFramePr>
        <xdr:cNvPr id="2" name="Chart 1">
          <a:extLst>
            <a:ext uri="{FF2B5EF4-FFF2-40B4-BE49-F238E27FC236}">
              <a16:creationId xmlns:a16="http://schemas.microsoft.com/office/drawing/2014/main" id="{C68AE649-FEA0-4535-80D2-5BEA3599D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241300</xdr:colOff>
      <xdr:row>67</xdr:row>
      <xdr:rowOff>38100</xdr:rowOff>
    </xdr:from>
    <xdr:to>
      <xdr:col>11</xdr:col>
      <xdr:colOff>2540</xdr:colOff>
      <xdr:row>76</xdr:row>
      <xdr:rowOff>126775</xdr:rowOff>
    </xdr:to>
    <xdr:graphicFrame macro="">
      <xdr:nvGraphicFramePr>
        <xdr:cNvPr id="5" name="Chart 4">
          <a:extLst>
            <a:ext uri="{FF2B5EF4-FFF2-40B4-BE49-F238E27FC236}">
              <a16:creationId xmlns:a16="http://schemas.microsoft.com/office/drawing/2014/main" id="{9064C1A8-661D-47F3-B3EE-DA6E50947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243840</xdr:colOff>
      <xdr:row>107</xdr:row>
      <xdr:rowOff>160020</xdr:rowOff>
    </xdr:from>
    <xdr:to>
      <xdr:col>10</xdr:col>
      <xdr:colOff>609600</xdr:colOff>
      <xdr:row>117</xdr:row>
      <xdr:rowOff>127410</xdr:rowOff>
    </xdr:to>
    <xdr:graphicFrame macro="">
      <xdr:nvGraphicFramePr>
        <xdr:cNvPr id="6" name="Chart 5">
          <a:extLst>
            <a:ext uri="{FF2B5EF4-FFF2-40B4-BE49-F238E27FC236}">
              <a16:creationId xmlns:a16="http://schemas.microsoft.com/office/drawing/2014/main" id="{622A0C42-5F16-4389-AB60-55A1A18B2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243840</xdr:colOff>
      <xdr:row>185</xdr:row>
      <xdr:rowOff>160020</xdr:rowOff>
    </xdr:from>
    <xdr:to>
      <xdr:col>10</xdr:col>
      <xdr:colOff>609600</xdr:colOff>
      <xdr:row>195</xdr:row>
      <xdr:rowOff>127410</xdr:rowOff>
    </xdr:to>
    <xdr:graphicFrame macro="">
      <xdr:nvGraphicFramePr>
        <xdr:cNvPr id="7" name="Chart 6">
          <a:extLst>
            <a:ext uri="{FF2B5EF4-FFF2-40B4-BE49-F238E27FC236}">
              <a16:creationId xmlns:a16="http://schemas.microsoft.com/office/drawing/2014/main" id="{94B6F336-81AD-4880-AB35-EA6B64BB2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30480</xdr:colOff>
      <xdr:row>123</xdr:row>
      <xdr:rowOff>175260</xdr:rowOff>
    </xdr:from>
    <xdr:to>
      <xdr:col>11</xdr:col>
      <xdr:colOff>15240</xdr:colOff>
      <xdr:row>133</xdr:row>
      <xdr:rowOff>66450</xdr:rowOff>
    </xdr:to>
    <xdr:graphicFrame macro="">
      <xdr:nvGraphicFramePr>
        <xdr:cNvPr id="4" name="Chart 3">
          <a:extLst>
            <a:ext uri="{FF2B5EF4-FFF2-40B4-BE49-F238E27FC236}">
              <a16:creationId xmlns:a16="http://schemas.microsoft.com/office/drawing/2014/main" id="{F7FA8929-B40F-4AC5-95B8-7EB6AA4BD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234950</xdr:colOff>
      <xdr:row>52</xdr:row>
      <xdr:rowOff>31750</xdr:rowOff>
    </xdr:from>
    <xdr:to>
      <xdr:col>10</xdr:col>
      <xdr:colOff>364490</xdr:colOff>
      <xdr:row>61</xdr:row>
      <xdr:rowOff>66450</xdr:rowOff>
    </xdr:to>
    <xdr:graphicFrame macro="">
      <xdr:nvGraphicFramePr>
        <xdr:cNvPr id="8" name="Chart 7">
          <a:extLst>
            <a:ext uri="{FF2B5EF4-FFF2-40B4-BE49-F238E27FC236}">
              <a16:creationId xmlns:a16="http://schemas.microsoft.com/office/drawing/2014/main" id="{1D201047-D190-45D3-B56B-9E4085A87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243840</xdr:colOff>
      <xdr:row>198</xdr:row>
      <xdr:rowOff>160020</xdr:rowOff>
    </xdr:from>
    <xdr:to>
      <xdr:col>10</xdr:col>
      <xdr:colOff>609600</xdr:colOff>
      <xdr:row>208</xdr:row>
      <xdr:rowOff>127410</xdr:rowOff>
    </xdr:to>
    <xdr:graphicFrame macro="">
      <xdr:nvGraphicFramePr>
        <xdr:cNvPr id="9" name="Chart 8">
          <a:extLst>
            <a:ext uri="{FF2B5EF4-FFF2-40B4-BE49-F238E27FC236}">
              <a16:creationId xmlns:a16="http://schemas.microsoft.com/office/drawing/2014/main" id="{246F0EA3-376C-4DB7-87B1-3A74B1847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Bunce" refreshedDate="45561.650641666667" createdVersion="8" refreshedVersion="8" minRefreshableVersion="3" recordCount="11" xr:uid="{DC617116-6FD0-4FC5-AE69-38717411541A}">
  <cacheSource type="worksheet">
    <worksheetSource name="_T1_2"/>
  </cacheSource>
  <cacheFields count="108">
    <cacheField name="Region" numFmtId="0">
      <sharedItems count="11">
        <s v="England"/>
        <s v="East Midlands"/>
        <s v="East of England"/>
        <s v="London"/>
        <s v="North East"/>
        <s v="North West"/>
        <s v="South East"/>
        <s v="South West"/>
        <s v="West Midlands"/>
        <s v="Yorkshire and the Humber"/>
        <s v="Great Britain"/>
      </sharedItems>
    </cacheField>
    <cacheField name="Sample size" numFmtId="0">
      <sharedItems containsSemiMixedTypes="0" containsString="0" containsNumber="1" containsInteger="1" minValue="576" maxValue="13266"/>
    </cacheField>
    <cacheField name="TM2009" numFmtId="9">
      <sharedItems containsSemiMixedTypes="0" containsString="0" containsNumber="1" minValue="0.18285018214290699" maxValue="0.22153596168558701"/>
    </cacheField>
    <cacheField name="TM2010" numFmtId="9">
      <sharedItems containsSemiMixedTypes="0" containsString="0" containsNumber="1" minValue="0.171197617" maxValue="0.23265750499999999"/>
    </cacheField>
    <cacheField name="TM2011" numFmtId="9">
      <sharedItems containsSemiMixedTypes="0" containsString="0" containsNumber="1" minValue="0.15598536700000001" maxValue="0.25861325099999999"/>
    </cacheField>
    <cacheField name="TM2012" numFmtId="9">
      <sharedItems containsSemiMixedTypes="0" containsString="0" containsNumber="1" minValue="0.14124577599999999" maxValue="0.21685589"/>
    </cacheField>
    <cacheField name="TM2013" numFmtId="9">
      <sharedItems containsSemiMixedTypes="0" containsString="0" containsNumber="1" minValue="0.138690068" maxValue="0.189799149"/>
    </cacheField>
    <cacheField name="TM2014" numFmtId="9">
      <sharedItems containsSemiMixedTypes="0" containsString="0" containsNumber="1" minValue="9.6182313000000005E-2" maxValue="0.12741283"/>
    </cacheField>
    <cacheField name="TM2015" numFmtId="9">
      <sharedItems containsSemiMixedTypes="0" containsString="0" containsNumber="1" minValue="0.119147687" maxValue="0.16213202400000001"/>
    </cacheField>
    <cacheField name="TM2016" numFmtId="9">
      <sharedItems containsSemiMixedTypes="0" containsString="0" containsNumber="1" minValue="9.1328663000000004E-2" maxValue="0.13543553699999999"/>
    </cacheField>
    <cacheField name="TM2017" numFmtId="9">
      <sharedItems containsSemiMixedTypes="0" containsString="0" containsNumber="1" minValue="9.3349893000000003E-2" maxValue="0.120400883"/>
    </cacheField>
    <cacheField name="TM2018" numFmtId="9">
      <sharedItems containsSemiMixedTypes="0" containsString="0" containsNumber="1" minValue="5.8387821999999999E-2" maxValue="0.101121059"/>
    </cacheField>
    <cacheField name="TM2019" numFmtId="9">
      <sharedItems containsSemiMixedTypes="0" containsString="0" containsNumber="1" minValue="6.5002459286696901E-2" maxValue="8.0113873000000002E-2"/>
    </cacheField>
    <cacheField name="TM2020" numFmtId="9">
      <sharedItems containsSemiMixedTypes="0" containsString="0" containsNumber="1" minValue="6.0270811581319597E-2" maxValue="8.2834122999999996E-2"/>
    </cacheField>
    <cacheField name="TM2021" numFmtId="9">
      <sharedItems containsSemiMixedTypes="0" containsString="0" containsNumber="1" minValue="4.4008765999999998E-2" maxValue="6.0595656154705801E-2"/>
    </cacheField>
    <cacheField name="TM2022" numFmtId="9">
      <sharedItems containsSemiMixedTypes="0" containsString="0" containsNumber="1" minValue="4.6611719000000003E-2" maxValue="6.3870640000000006E-2"/>
    </cacheField>
    <cacheField name="TM2023" numFmtId="9">
      <sharedItems containsSemiMixedTypes="0" containsString="0" containsNumber="1" minValue="5.9508859536803731E-2" maxValue="8.5851162938955311E-2"/>
    </cacheField>
    <cacheField name="TM2024" numFmtId="9">
      <sharedItems containsSemiMixedTypes="0" containsString="0" containsNumber="1" minValue="7.3899999999999993E-2" maxValue="0.1075"/>
    </cacheField>
    <cacheField name="AR2009" numFmtId="9">
      <sharedItems containsSemiMixedTypes="0" containsString="0" containsNumber="1" minValue="0.42726139520819001" maxValue="0.50243247878304798"/>
    </cacheField>
    <cacheField name="AR2010" numFmtId="9">
      <sharedItems containsSemiMixedTypes="0" containsString="0" containsNumber="1" minValue="0.40534142299999998" maxValue="0.46488466060598599"/>
    </cacheField>
    <cacheField name="AR2011" numFmtId="9">
      <sharedItems containsSemiMixedTypes="0" containsString="0" containsNumber="1" minValue="0.35787504115825503" maxValue="0.40717415072080199"/>
    </cacheField>
    <cacheField name="AR2012" numFmtId="9">
      <sharedItems containsSemiMixedTypes="0" containsString="0" containsNumber="1" minValue="0.32575559900000001" maxValue="0.38836184299999998"/>
    </cacheField>
    <cacheField name="AR2013" numFmtId="9">
      <sharedItems containsSemiMixedTypes="0" containsString="0" containsNumber="1" minValue="0.344764149597859" maxValue="0.39273888000000001"/>
    </cacheField>
    <cacheField name="AR2014" numFmtId="9">
      <sharedItems containsSemiMixedTypes="0" containsString="0" containsNumber="1" minValue="0.30916199500000002" maxValue="0.36398244400000002"/>
    </cacheField>
    <cacheField name="AR2015" numFmtId="9">
      <sharedItems containsSemiMixedTypes="0" containsString="0" containsNumber="1" minValue="0.35279188700000003" maxValue="0.43839602700000002"/>
    </cacheField>
    <cacheField name="AR2016" numFmtId="9">
      <sharedItems containsSemiMixedTypes="0" containsString="0" containsNumber="1" minValue="0.30165545273144501" maxValue="0.37558858000000001"/>
    </cacheField>
    <cacheField name="AR2017" numFmtId="9">
      <sharedItems containsSemiMixedTypes="0" containsString="0" containsNumber="1" minValue="0.34711637000000001" maxValue="0.38401750878276703"/>
    </cacheField>
    <cacheField name="AR2018" numFmtId="9">
      <sharedItems containsSemiMixedTypes="0" containsString="0" containsNumber="1" minValue="0.32642553899999999" maxValue="0.37255438400000002"/>
    </cacheField>
    <cacheField name="AR2019" numFmtId="9">
      <sharedItems containsSemiMixedTypes="0" containsString="0" containsNumber="1" minValue="0.27372240492550098" maxValue="0.34039405045896298"/>
    </cacheField>
    <cacheField name="AR2020" numFmtId="9">
      <sharedItems containsSemiMixedTypes="0" containsString="0" containsNumber="1" minValue="0.30793079800000001" maxValue="0.34645781120431501"/>
    </cacheField>
    <cacheField name="AR2021" numFmtId="9">
      <sharedItems containsSemiMixedTypes="0" containsString="0" containsNumber="1" minValue="0.32495921" maxValue="0.37055221799999999"/>
    </cacheField>
    <cacheField name="AR2022" numFmtId="9">
      <sharedItems containsSemiMixedTypes="0" containsString="0" containsNumber="1" minValue="0.28984942699999999" maxValue="0.31855042002860701"/>
    </cacheField>
    <cacheField name="AR2023" numFmtId="9">
      <sharedItems containsSemiMixedTypes="0" containsString="0" containsNumber="1" minValue="0.25424072055773572" maxValue="0.28862871211603253"/>
    </cacheField>
    <cacheField name="AR2024" numFmtId="9">
      <sharedItems containsSemiMixedTypes="0" containsString="0" containsNumber="1" minValue="0.27239999999999998" maxValue="0.34870000000000001"/>
    </cacheField>
    <cacheField name="NE2009" numFmtId="9">
      <sharedItems containsSemiMixedTypes="0" containsString="0" containsNumber="1" minValue="0.26113463146837301" maxValue="0.31603748914157498"/>
    </cacheField>
    <cacheField name="NE2010" numFmtId="9">
      <sharedItems containsSemiMixedTypes="0" containsString="0" containsNumber="1" minValue="0.30282077299999999" maxValue="0.33243733851382001"/>
    </cacheField>
    <cacheField name="NE2011" numFmtId="9">
      <sharedItems containsSemiMixedTypes="0" containsString="0" containsNumber="1" minValue="0.30434301400000002" maxValue="0.389796535"/>
    </cacheField>
    <cacheField name="NE2012" numFmtId="9">
      <sharedItems containsSemiMixedTypes="0" containsString="0" containsNumber="1" minValue="0.34234980667776899" maxValue="0.39523964126238398"/>
    </cacheField>
    <cacheField name="NE2013" numFmtId="9">
      <sharedItems containsSemiMixedTypes="0" containsString="0" containsNumber="1" minValue="0.347121069" maxValue="0.40262414823737502"/>
    </cacheField>
    <cacheField name="NE2014" numFmtId="9">
      <sharedItems containsSemiMixedTypes="0" containsString="0" containsNumber="1" minValue="0.385222701" maxValue="0.44067391500000003"/>
    </cacheField>
    <cacheField name="NE2015" numFmtId="9">
      <sharedItems containsSemiMixedTypes="0" containsString="0" containsNumber="1" minValue="0.35663082699999998" maxValue="0.39850355385811898"/>
    </cacheField>
    <cacheField name="NE2016" numFmtId="9">
      <sharedItems containsSemiMixedTypes="0" containsString="0" containsNumber="1" minValue="0.35146245999999998" maxValue="0.44425086925874002"/>
    </cacheField>
    <cacheField name="NE2017" numFmtId="9">
      <sharedItems containsSemiMixedTypes="0" containsString="0" containsNumber="1" minValue="0.34346087600000003" maxValue="0.43872677799999998"/>
    </cacheField>
    <cacheField name="NE2018" numFmtId="9">
      <sharedItems containsSemiMixedTypes="0" containsString="0" containsNumber="1" minValue="0.36326043899999999" maxValue="0.42080305000000001"/>
    </cacheField>
    <cacheField name="NE2019" numFmtId="9">
      <sharedItems containsSemiMixedTypes="0" containsString="0" containsNumber="1" minValue="0.44308929681600301" maxValue="0.494500622"/>
    </cacheField>
    <cacheField name="NE2020" numFmtId="9">
      <sharedItems containsSemiMixedTypes="0" containsString="0" containsNumber="1" minValue="0.42502769899999998" maxValue="0.45758081068676898"/>
    </cacheField>
    <cacheField name="NE2021" numFmtId="9">
      <sharedItems containsSemiMixedTypes="0" containsString="0" containsNumber="1" minValue="0.43184375200000003" maxValue="0.47459215199999999"/>
    </cacheField>
    <cacheField name="NE2022" numFmtId="9">
      <sharedItems containsSemiMixedTypes="0" containsString="0" containsNumber="1" minValue="0.43357878700000002" maxValue="0.47628704399999999"/>
    </cacheField>
    <cacheField name="NE2023" numFmtId="9">
      <sharedItems containsSemiMixedTypes="0" containsString="0" containsNumber="1" minValue="0.47186176205997088" maxValue="0.51026302588119699"/>
    </cacheField>
    <cacheField name="NE2024" numFmtId="9">
      <sharedItems containsSemiMixedTypes="0" containsString="0" containsNumber="1" minValue="0.42970000000000003" maxValue="0.52249999999999996"/>
    </cacheField>
    <cacheField name="DK2009" numFmtId="9">
      <sharedItems containsSemiMixedTypes="0" containsString="0" containsNumber="1" minValue="3.3944161320395599E-2" maxValue="5.3582707605672401E-2"/>
    </cacheField>
    <cacheField name="DK2010" numFmtId="9">
      <sharedItems containsSemiMixedTypes="0" containsString="0" containsNumber="1" minValue="2.9508245702807499E-2" maxValue="7.3117868000000003E-2"/>
    </cacheField>
    <cacheField name="DK2011" numFmtId="9">
      <sharedItems containsSemiMixedTypes="0" containsString="0" containsNumber="1" minValue="6.3567136999999996E-2" maxValue="8.1576469999999998E-2"/>
    </cacheField>
    <cacheField name="DK2012" numFmtId="9">
      <sharedItems containsSemiMixedTypes="0" containsString="0" containsNumber="1" minValue="8.4980885000000006E-2" maxValue="0.12733066000000001"/>
    </cacheField>
    <cacheField name="DK2013" numFmtId="9">
      <sharedItems containsSemiMixedTypes="0" containsString="0" containsNumber="1" minValue="8.5444241000000004E-2" maxValue="0.13116278300000001"/>
    </cacheField>
    <cacheField name="DK2014" numFmtId="9">
      <sharedItems containsSemiMixedTypes="0" containsString="0" containsNumber="1" minValue="0.103039215862492" maxValue="0.18023312599999999"/>
    </cacheField>
    <cacheField name="DK2015" numFmtId="9">
      <sharedItems containsSemiMixedTypes="0" containsString="0" containsNumber="1" minValue="8.3654893999999994E-2" maxValue="0.13066671199999999"/>
    </cacheField>
    <cacheField name="DK2016" numFmtId="9">
      <sharedItems containsSemiMixedTypes="0" containsString="0" containsNumber="1" minValue="0.13356594799999999" maxValue="0.185141263"/>
    </cacheField>
    <cacheField name="DK2017" numFmtId="9">
      <sharedItems containsSemiMixedTypes="0" containsString="0" containsNumber="1" minValue="0.113160366242379" maxValue="0.16721761800000001"/>
    </cacheField>
    <cacheField name="DK2018" numFmtId="9">
      <sharedItems containsSemiMixedTypes="0" containsString="0" containsNumber="1" minValue="0.13950802100000001" maxValue="0.20722680199999999"/>
    </cacheField>
    <cacheField name="DK2019" numFmtId="9">
      <sharedItems containsSemiMixedTypes="0" containsString="0" containsNumber="1" minValue="0.12880467400000001" maxValue="0.19337398289458699"/>
    </cacheField>
    <cacheField name="DK2020" numFmtId="9">
      <sharedItems containsSemiMixedTypes="0" containsString="0" containsNumber="1" minValue="0.13732852700000001" maxValue="0.183479014"/>
    </cacheField>
    <cacheField name="DK2021" numFmtId="9">
      <sharedItems containsSemiMixedTypes="0" containsString="0" containsNumber="1" minValue="0.117207044" maxValue="0.16849489400000001"/>
    </cacheField>
    <cacheField name="DK2022" numFmtId="9">
      <sharedItems containsSemiMixedTypes="0" containsString="0" containsNumber="1" minValue="0.16764147400000001" maxValue="0.203536679"/>
    </cacheField>
    <cacheField name="DK2023" numFmtId="9">
      <sharedItems containsSemiMixedTypes="0" containsString="0" containsNumber="1" minValue="0.1488472267829456" maxValue="0.19115423580187119"/>
    </cacheField>
    <cacheField name="DK2024" numFmtId="9">
      <sharedItems containsSemiMixedTypes="0" containsString="0" containsNumber="1" minValue="9.9400000000000002E-2" maxValue="0.13919999999999999"/>
    </cacheField>
    <cacheField name="Gov't activities to limit smoking (Too much)" numFmtId="9">
      <sharedItems containsSemiMixedTypes="0" containsString="0" containsNumber="1" minValue="7.3899999999999993E-2" maxValue="0.1075"/>
    </cacheField>
    <cacheField name="Gov't activities to limit smoking (About Right)" numFmtId="9">
      <sharedItems containsSemiMixedTypes="0" containsString="0" containsNumber="1" minValue="0.27239999999999998" maxValue="0.34870000000000001"/>
    </cacheField>
    <cacheField name="Gov't activities to limit smoking (About Right or Not Enough)" numFmtId="9">
      <sharedItems containsSemiMixedTypes="0" containsString="0" containsNumber="1" minValue="0.77810000000000001" maxValue="0.8165"/>
    </cacheField>
    <cacheField name="Gov't activities to limit smoking (Not enough)" numFmtId="9">
      <sharedItems containsSemiMixedTypes="0" containsString="0" containsNumber="1" minValue="0.42970000000000003" maxValue="0.52249999999999996"/>
    </cacheField>
    <cacheField name="Protected from industry (Support)" numFmtId="9">
      <sharedItems containsSemiMixedTypes="0" containsString="0" containsNumber="1" minValue="0.74229999999999996" maxValue="0.81420000000000003"/>
    </cacheField>
    <cacheField name="Protected from industry (Oppose)" numFmtId="9">
      <sharedItems containsSemiMixedTypes="0" containsString="0" containsNumber="1" minValue="1.3299999999999999E-2" maxValue="2.87E-2"/>
    </cacheField>
    <cacheField name="Smokefree gen (Support)" numFmtId="9">
      <sharedItems containsSemiMixedTypes="0" containsString="0" containsNumber="1" minValue="0.76619999999999999" maxValue="0.80400000000000005"/>
    </cacheField>
    <cacheField name="Smokefree gen (Oppose)" numFmtId="9">
      <sharedItems containsSemiMixedTypes="0" containsString="0" containsNumber="1" minValue="6.0699999999999997E-2" maxValue="7.8600000000000003E-2"/>
    </cacheField>
    <cacheField name="GB noone smokes (Support)" numFmtId="9">
      <sharedItems containsSemiMixedTypes="0" containsString="0" containsNumber="1" minValue="0.71220000000000006" maxValue="0.74650000000000005"/>
    </cacheField>
    <cacheField name="GB noone smokes (Oppose)" numFmtId="9">
      <sharedItems containsSemiMixedTypes="0" containsString="0" containsNumber="1" minValue="8.7599999999999997E-2" maxValue="0.109"/>
    </cacheField>
    <cacheField name="ageup (Support)" numFmtId="9">
      <sharedItems containsSemiMixedTypes="0" containsString="0" containsNumber="1" minValue="0.67759999999999998" maxValue="0.70720000000000005"/>
    </cacheField>
    <cacheField name="ageup (Oppose)" numFmtId="9">
      <sharedItems containsSemiMixedTypes="0" containsString="0" containsNumber="1" minValue="0.1022" maxValue="0.13400000000000001"/>
    </cacheField>
    <cacheField name="Mandatory age verification (Support)" numFmtId="9">
      <sharedItems containsSemiMixedTypes="0" containsString="0" containsNumber="1" minValue="0.69950000000000001" maxValue="0.73299999999999998"/>
    </cacheField>
    <cacheField name="Mandatory age verification (Oppose)" numFmtId="9">
      <sharedItems containsSemiMixedTypes="0" containsString="0" containsNumber="1" minValue="9.0499999999999997E-2" maxValue="0.1202"/>
    </cacheField>
    <cacheField name="protecting health policy from influence of tobacco (Support)" numFmtId="9">
      <sharedItems containsSemiMixedTypes="0" containsString="0" containsNumber="1" minValue="0.74229999999999996" maxValue="0.81420000000000003"/>
    </cacheField>
    <cacheField name="protecting health policy from influence of tobacco (Oppose)" numFmtId="9">
      <sharedItems containsSemiMixedTypes="0" containsString="0" containsNumber="1" minValue="1.3299999999999999E-2" maxValue="2.87E-2"/>
    </cacheField>
    <cacheField name="Requiring businesses to have a valid licence to sell tobacco (Support)" numFmtId="9">
      <sharedItems containsSemiMixedTypes="0" containsString="0" containsNumber="1" minValue="0.80389999999999995" maxValue="0.88290000000000002"/>
    </cacheField>
    <cacheField name="Requiring businesses to have a valid licence to sell tobacco (Oppose)" numFmtId="9">
      <sharedItems containsSemiMixedTypes="0" containsString="0" containsNumber="1" minValue="2.07E-2" maxValue="4.6300000000000001E-2"/>
    </cacheField>
    <cacheField name=" Requiring tobacco manufacturers to pay a levy to Government (Support)" numFmtId="9">
      <sharedItems containsSemiMixedTypes="0" containsString="0" containsNumber="1" minValue="0.7712" maxValue="0.81740000000000002"/>
    </cacheField>
    <cacheField name=" Requiring tobacco manufacturers to pay a levy to Government (Oppose)" numFmtId="9">
      <sharedItems containsSemiMixedTypes="0" containsString="0" containsNumber="1" minValue="4.4400000000000002E-2" maxValue="6.5699999999999995E-2"/>
    </cacheField>
    <cacheField name="Require cigarette packs to include inserts with Government information about quitting (Support)" numFmtId="9">
      <sharedItems containsSemiMixedTypes="0" containsString="0" containsNumber="1" minValue="0.70650000000000002" maxValue="0.76570000000000005"/>
    </cacheField>
    <cacheField name="Require cigarette packs to include inserts with Government information about quitting (Oppose)" numFmtId="9">
      <sharedItems containsSemiMixedTypes="0" containsString="0" containsNumber="1" minValue="6.2E-2" maxValue="0.1053"/>
    </cacheField>
    <cacheField name="  Health warnings printed on cigarette sticks to encourage smokers to quit (Support)" numFmtId="9">
      <sharedItems containsSemiMixedTypes="0" containsString="0" containsNumber="1" minValue="0.6835" maxValue="0.74229999999999996"/>
    </cacheField>
    <cacheField name="  Health warnings printed on cigarette sticks to encourage smokers to quit (Support)3" numFmtId="9">
      <sharedItems containsSemiMixedTypes="0" containsString="0" containsNumber="1" minValue="6.9400000000000003E-2" maxValue="9.3200000000000005E-2"/>
    </cacheField>
    <cacheField name="Banning names of sweets, cartoons, and bright colours on e-cigarette packaging (Support)" numFmtId="9">
      <sharedItems containsSemiMixedTypes="0" containsString="0" containsNumber="1" minValue="0.77869999999999995" maxValue="0.84899999999999998"/>
    </cacheField>
    <cacheField name="Banning names of sweets, cartoons, and bright colours on e-cigarette packaging (Oppose)" numFmtId="9">
      <sharedItems containsSemiMixedTypes="0" containsString="0" containsNumber="1" minValue="3.4299999999999997E-2" maxValue="5.3400000000000003E-2"/>
    </cacheField>
    <cacheField name="financial incentives for pregnant women (Support)" numFmtId="9">
      <sharedItems containsSemiMixedTypes="0" containsString="0" containsNumber="1" minValue="0.49059999999999998" maxValue="0.64959999999999996"/>
    </cacheField>
    <cacheField name="financial incentives for pregnant women (Oppose)" numFmtId="9">
      <sharedItems containsSemiMixedTypes="0" containsString="0" containsNumber="1" minValue="0.15620000000000001" maxValue="0.29010000000000002"/>
    </cacheField>
    <cacheField name="Restaurant pub café smoking ban (Support)" numFmtId="9">
      <sharedItems containsSemiMixedTypes="0" containsString="0" containsNumber="1" minValue="0.64680000000000004" maxValue="0.67710000000000004"/>
    </cacheField>
    <cacheField name="Restaurant pub café smoking ban (Oppose)" numFmtId="9">
      <sharedItems containsSemiMixedTypes="0" containsString="0" containsNumber="1" minValue="0.16020000000000001" maxValue="0.20399999999999999"/>
    </cacheField>
    <cacheField name="Smoking should be banned in all public transport waiting areas (Support)" numFmtId="9">
      <sharedItems containsSemiMixedTypes="0" containsString="0" containsNumber="1" minValue="0.78290000000000004" maxValue="0.83120000000000005"/>
    </cacheField>
    <cacheField name="Smoking should be banned in all public transport waiting areas (Oppose)" numFmtId="9">
      <sharedItems containsSemiMixedTypes="0" containsString="0" containsNumber="1" minValue="6.5199999999999994E-2" maxValue="9.5200000000000007E-2"/>
    </cacheField>
    <cacheField name="Smoking should be banned in further education colleges (Support)" numFmtId="9">
      <sharedItems containsSemiMixedTypes="0" containsString="0" containsNumber="1" minValue="0.73170000000000002" maxValue="0.77410000000000001"/>
    </cacheField>
    <cacheField name="Smoking should be banned in further education colleges (Oppose)" numFmtId="9">
      <sharedItems containsSemiMixedTypes="0" containsString="0" containsNumber="1" minValue="8.1199999999999994E-2" maxValue="0.115"/>
    </cacheField>
    <cacheField name="Smoking should be banned on university and college campuses (Support)" numFmtId="9">
      <sharedItems containsSemiMixedTypes="0" containsString="0" containsNumber="1" minValue="0.69179999999999997" maxValue="0.74860000000000004"/>
    </cacheField>
    <cacheField name="Smoking should be banned on university and college campuses (Oppose)" numFmtId="9">
      <sharedItems containsSemiMixedTypes="0" containsString="0" containsNumber="1" minValue="9.4600000000000004E-2" maxValue="0.13739999999999999"/>
    </cacheField>
    <cacheField name="pos advertising ban (Support)" numFmtId="9">
      <sharedItems containsSemiMixedTypes="0" containsString="0" containsNumber="1" minValue="0.7802" maxValue="0.83560000000000001"/>
    </cacheField>
    <cacheField name="pos advertising ban (Oppose)" numFmtId="9">
      <sharedItems containsSemiMixedTypes="0" containsString="0" containsNumber="1" minValue="3.8199999999999998E-2" maxValue="5.74E-2"/>
    </cacheField>
    <cacheField name="declare (Support)" numFmtId="9">
      <sharedItems containsSemiMixedTypes="0" containsString="0" containsNumber="1" minValue="0.84409999999999996" maxValue="0.90959999999999996"/>
    </cacheField>
    <cacheField name="declare (Oppose)" numFmtId="9">
      <sharedItems containsSemiMixedTypes="0" containsString="0" containsNumber="1" minValue="4.8999999999999998E-3" maxValue="1.3599999999999999E-2"/>
    </cacheField>
    <cacheField name="Ban sale and import of disposables (Support)" numFmtId="9">
      <sharedItems containsSemiMixedTypes="0" containsString="0" containsNumber="1" minValue="0.75939999999999996" maxValue="0.82599999999999996"/>
    </cacheField>
    <cacheField name="Ban sale and import of disposables (Oppose)" numFmtId="9">
      <sharedItems containsSemiMixedTypes="0" containsString="0" containsNumber="1" minValue="5.6899999999999999E-2" maxValue="7.6700000000000004E-2"/>
    </cacheField>
  </cacheFields>
  <extLst>
    <ext xmlns:x14="http://schemas.microsoft.com/office/spreadsheetml/2009/9/main" uri="{725AE2AE-9491-48be-B2B4-4EB974FC3084}">
      <x14:pivotCacheDefinition pivotCacheId="163966653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11018"/>
    <n v="0.203829455966135"/>
    <n v="0.206456529283015"/>
    <n v="0.19350815046919201"/>
    <n v="0.17703980109918999"/>
    <n v="0.15611928848010101"/>
    <n v="0.11309977096203799"/>
    <n v="0.14254614411963101"/>
    <n v="0.11009350797829399"/>
    <n v="0.103523492451998"/>
    <n v="8.2154752177260301E-2"/>
    <n v="7.3801394878007506E-2"/>
    <n v="6.9594187766957499E-2"/>
    <n v="5.1670833400870399E-2"/>
    <n v="5.5191541290994003E-2"/>
    <n v="6.9295156386879261E-2"/>
    <n v="8.9499999999999996E-2"/>
    <n v="0.46466759882537501"/>
    <n v="0.42129292695176002"/>
    <n v="0.38402083747099902"/>
    <n v="0.35774694691472803"/>
    <n v="0.37409093512832797"/>
    <n v="0.33546820048409198"/>
    <n v="0.38436014206254199"/>
    <n v="0.353558995147502"/>
    <n v="0.36901235240977398"/>
    <n v="0.350343429693172"/>
    <n v="0.30621373049084799"/>
    <n v="0.32871505894949798"/>
    <n v="0.34648987656977598"/>
    <n v="0.30451843162418601"/>
    <n v="0.27615580766146852"/>
    <n v="0.29670000000000002"/>
    <n v="0.28910860346850098"/>
    <n v="0.31972192798871601"/>
    <n v="0.34955419594088"/>
    <n v="0.36521217836381098"/>
    <n v="0.36948152838558102"/>
    <n v="0.41869721154892697"/>
    <n v="0.36661290023864102"/>
    <n v="0.38402889484483999"/>
    <n v="0.39381173384506302"/>
    <n v="0.39653253037282399"/>
    <n v="0.462246875936698"/>
    <n v="0.44250530730839999"/>
    <n v="0.45029264516622403"/>
    <n v="0.45783732482598499"/>
    <n v="0.49283903205910001"/>
    <n v="0.496"/>
    <n v="4.2394341739988899E-2"/>
    <n v="5.2528615776509302E-2"/>
    <n v="7.2916816118928598E-2"/>
    <n v="0.10000107362227099"/>
    <n v="0.10030824800599"/>
    <n v="0.132734817004943"/>
    <n v="0.106480813579186"/>
    <n v="0.15231860202936401"/>
    <n v="0.13365242129316501"/>
    <n v="0.170969287756743"/>
    <n v="0.15773799869444699"/>
    <n v="0.159185445975144"/>
    <n v="0.15154664486312899"/>
    <n v="0.182452702258834"/>
    <n v="0.1617100038925523"/>
    <n v="0.1177"/>
    <n v="8.9499999999999996E-2"/>
    <n v="0.29670000000000002"/>
    <n v="0.79269999999999996"/>
    <n v="0.496"/>
    <n v="0.78210000000000002"/>
    <n v="2.1000000000000001E-2"/>
    <n v="0.78069999999999995"/>
    <n v="7.0000000000000007E-2"/>
    <n v="0.7339"/>
    <n v="0.10150000000000001"/>
    <n v="0.69230000000000003"/>
    <n v="0.1181"/>
    <n v="0.71640000000000004"/>
    <n v="0.1084"/>
    <n v="0.78210000000000002"/>
    <n v="2.1000000000000001E-2"/>
    <n v="0.8579"/>
    <n v="3.56E-2"/>
    <n v="0.79259999999999997"/>
    <n v="5.3699999999999998E-2"/>
    <n v="0.7127"/>
    <n v="7.22E-2"/>
    <n v="0.70640000000000003"/>
    <n v="8.0799999999999997E-2"/>
    <n v="0.81850000000000001"/>
    <n v="4.5400000000000003E-2"/>
    <n v="0.53100000000000003"/>
    <n v="0.24940000000000001"/>
    <n v="0.65969999999999995"/>
    <n v="0.18340000000000001"/>
    <n v="0.81"/>
    <n v="8.2100000000000006E-2"/>
    <n v="0.73960000000000004"/>
    <n v="0.1067"/>
    <n v="0.70630000000000004"/>
    <n v="0.1244"/>
    <n v="0.81020000000000003"/>
    <n v="4.82E-2"/>
    <n v="0.873"/>
    <n v="7.6E-3"/>
    <n v="0.80210000000000004"/>
    <n v="6.7299999999999999E-2"/>
  </r>
  <r>
    <x v="1"/>
    <n v="985"/>
    <n v="0.192085283903073"/>
    <n v="0.21071862099999999"/>
    <n v="0.18383142699999999"/>
    <n v="0.170027068"/>
    <n v="0.15079637400000001"/>
    <n v="0.10361801900000001"/>
    <n v="0.15068420799999999"/>
    <n v="0.13543553699999999"/>
    <n v="0.120400883"/>
    <n v="0.101121059"/>
    <n v="8.0113873000000002E-2"/>
    <n v="7.3504389000000003E-2"/>
    <n v="4.8362039000000002E-2"/>
    <n v="6.1222161999999997E-2"/>
    <n v="6.332924813369778E-2"/>
    <n v="8.2699999999999996E-2"/>
    <n v="0.481390996231993"/>
    <n v="0.42878882000000001"/>
    <n v="0.39202266899999999"/>
    <n v="0.35785926800000001"/>
    <n v="0.37323867500000002"/>
    <n v="0.32508392600000002"/>
    <n v="0.37318563399999999"/>
    <n v="0.35879950100000002"/>
    <n v="0.37649664500000002"/>
    <n v="0.35848761000000001"/>
    <n v="0.28468095500000001"/>
    <n v="0.34086180300000002"/>
    <n v="0.35779321800000002"/>
    <n v="0.30166237200000001"/>
    <n v="0.25424072055773572"/>
    <n v="0.28320000000000001"/>
    <n v="0.29022085594686498"/>
    <n v="0.31190256300000002"/>
    <n v="0.36057876700000002"/>
    <n v="0.37480824699999998"/>
    <n v="0.38252529800000001"/>
    <n v="0.44067391500000003"/>
    <n v="0.38043734499999998"/>
    <n v="0.36694555000000001"/>
    <n v="0.367522933"/>
    <n v="0.36326043899999999"/>
    <n v="0.478497432"/>
    <n v="0.44115139799999997"/>
    <n v="0.44519434200000002"/>
    <n v="0.43357878700000002"/>
    <n v="0.49127579550669542"/>
    <n v="0.49490000000000001"/>
    <n v="3.6302863918069E-2"/>
    <n v="4.8589997000000003E-2"/>
    <n v="6.3567136999999996E-2"/>
    <n v="9.7305417000000005E-2"/>
    <n v="9.3439652999999998E-2"/>
    <n v="0.130624139"/>
    <n v="9.5692813000000002E-2"/>
    <n v="0.138819412"/>
    <n v="0.135579539"/>
    <n v="0.17713089200000001"/>
    <n v="0.15670774100000001"/>
    <n v="0.14448240900000001"/>
    <n v="0.14865039999999999"/>
    <n v="0.203536679"/>
    <n v="0.19115423580187119"/>
    <n v="0.13919999999999999"/>
    <n v="8.2699999999999996E-2"/>
    <n v="0.28320000000000001"/>
    <n v="0.77810000000000001"/>
    <n v="0.49490000000000001"/>
    <n v="0.74229999999999996"/>
    <n v="1.4800000000000001E-2"/>
    <n v="0.76619999999999999"/>
    <n v="7.17E-2"/>
    <n v="0.72670000000000001"/>
    <n v="0.109"/>
    <n v="0.69169999999999998"/>
    <n v="0.1022"/>
    <n v="0.71350000000000002"/>
    <n v="9.9500000000000005E-2"/>
    <n v="0.74229999999999996"/>
    <n v="1.4800000000000001E-2"/>
    <n v="0.86009999999999998"/>
    <n v="2.92E-2"/>
    <n v="0.7712"/>
    <n v="4.8000000000000001E-2"/>
    <n v="0.76570000000000005"/>
    <n v="6.5500000000000003E-2"/>
    <n v="0.70979999999999999"/>
    <n v="6.9400000000000003E-2"/>
    <n v="0.81040000000000001"/>
    <n v="5.3400000000000003E-2"/>
    <n v="0.503"/>
    <n v="0.27860000000000001"/>
    <n v="0.67710000000000004"/>
    <n v="0.1701"/>
    <n v="0.80410000000000004"/>
    <n v="8.43E-2"/>
    <n v="0.73170000000000002"/>
    <n v="0.1004"/>
    <n v="0.7046"/>
    <n v="0.1145"/>
    <n v="0.78969999999999996"/>
    <n v="5.1999999999999998E-2"/>
    <n v="0.86429999999999996"/>
    <n v="6.1999999999999998E-3"/>
    <n v="0.79069999999999996"/>
    <n v="7.3300000000000004E-2"/>
  </r>
  <r>
    <x v="2"/>
    <n v="1227"/>
    <n v="0.194300951360561"/>
    <n v="0.21119412400000001"/>
    <n v="0.16830869600000001"/>
    <n v="0.204066003"/>
    <n v="0.157299511"/>
    <n v="0.10857019800000001"/>
    <n v="0.15816637"/>
    <n v="0.117331792"/>
    <n v="0.106934178"/>
    <n v="9.1151255E-2"/>
    <n v="7.2873262999999994E-2"/>
    <n v="7.0894651000000003E-2"/>
    <n v="5.9050740999999997E-2"/>
    <n v="6.0158151E-2"/>
    <n v="6.306295407237808E-2"/>
    <n v="7.3899999999999993E-2"/>
    <n v="0.45322621810066599"/>
    <n v="0.40534142299999998"/>
    <n v="0.366358507"/>
    <n v="0.35332044600000001"/>
    <n v="0.37413206799999998"/>
    <n v="0.33394498099999997"/>
    <n v="0.39033932500000001"/>
    <n v="0.36674874899999999"/>
    <n v="0.358393766"/>
    <n v="0.37255438400000002"/>
    <n v="0.28850852399999999"/>
    <n v="0.33822669100000002"/>
    <n v="0.35015828500000001"/>
    <n v="0.29746061699999998"/>
    <n v="0.28617485214684169"/>
    <n v="0.31230000000000002"/>
    <n v="0.304974582071809"/>
    <n v="0.32945249100000001"/>
    <n v="0.389796535"/>
    <n v="0.35735852200000001"/>
    <n v="0.37379233499999998"/>
    <n v="0.43418849300000001"/>
    <n v="0.35684094900000002"/>
    <n v="0.37814536399999998"/>
    <n v="0.41431707899999998"/>
    <n v="0.39678634000000002"/>
    <n v="0.47473184699999998"/>
    <n v="0.45084254099999999"/>
    <n v="0.43184375200000003"/>
    <n v="0.45508915799999999"/>
    <n v="0.48005405409716378"/>
    <n v="0.50419999999999998"/>
    <n v="4.7498248466963003E-2"/>
    <n v="5.4011961999999997E-2"/>
    <n v="7.5536260999999993E-2"/>
    <n v="8.5255029999999996E-2"/>
    <n v="9.4776085999999996E-2"/>
    <n v="0.123296328"/>
    <n v="9.4653354999999995E-2"/>
    <n v="0.13777409400000001"/>
    <n v="0.120354977"/>
    <n v="0.13950802100000001"/>
    <n v="0.16388636600000001"/>
    <n v="0.14003611699999999"/>
    <n v="0.158947223"/>
    <n v="0.187292074"/>
    <n v="0.17070813968361651"/>
    <n v="0.1096"/>
    <n v="7.3899999999999993E-2"/>
    <n v="0.31230000000000002"/>
    <n v="0.8165"/>
    <n v="0.50419999999999998"/>
    <n v="0.78849999999999998"/>
    <n v="1.3299999999999999E-2"/>
    <n v="0.78049999999999997"/>
    <n v="6.1699999999999998E-2"/>
    <n v="0.72840000000000005"/>
    <n v="0.1021"/>
    <n v="0.68899999999999995"/>
    <n v="0.127"/>
    <n v="0.72440000000000004"/>
    <n v="0.1202"/>
    <n v="0.78849999999999998"/>
    <n v="1.3299999999999999E-2"/>
    <n v="0.88019999999999998"/>
    <n v="3.1E-2"/>
    <n v="0.80230000000000001"/>
    <n v="4.9000000000000002E-2"/>
    <n v="0.72540000000000004"/>
    <n v="9.1899999999999996E-2"/>
    <n v="0.71970000000000001"/>
    <n v="8.9700000000000002E-2"/>
    <n v="0.84230000000000005"/>
    <n v="3.4299999999999997E-2"/>
    <n v="0.50800000000000001"/>
    <n v="0.26950000000000002"/>
    <n v="0.64890000000000003"/>
    <n v="0.19789999999999999"/>
    <n v="0.81110000000000004"/>
    <n v="8.9899999999999994E-2"/>
    <n v="0.7349"/>
    <n v="0.1115"/>
    <n v="0.70640000000000003"/>
    <n v="0.127"/>
    <n v="0.83560000000000001"/>
    <n v="4.1099999999999998E-2"/>
    <n v="0.87590000000000001"/>
    <n v="4.8999999999999998E-3"/>
    <n v="0.82599999999999996"/>
    <n v="5.6899999999999999E-2"/>
  </r>
  <r>
    <x v="3"/>
    <n v="1741"/>
    <n v="0.18285018214290699"/>
    <n v="0.171197617"/>
    <n v="0.15598536700000001"/>
    <n v="0.14124577599999999"/>
    <n v="0.138690068"/>
    <n v="9.6182313000000005E-2"/>
    <n v="0.13444314299999999"/>
    <n v="9.1328663000000004E-2"/>
    <n v="0.10642143900000001"/>
    <n v="7.3839296999999998E-2"/>
    <n v="7.7558948000000003E-2"/>
    <n v="6.6346470000000005E-2"/>
    <n v="4.4828682000000002E-2"/>
    <n v="5.6110303E-2"/>
    <n v="8.5851162938955311E-2"/>
    <n v="0.1075"/>
    <n v="0.50243247878304798"/>
    <n v="0.43807618700000001"/>
    <n v="0.39675369300000002"/>
    <n v="0.36183289200000002"/>
    <n v="0.37864135599999998"/>
    <n v="0.33836186099999999"/>
    <n v="0.37172696100000002"/>
    <n v="0.37206761399999999"/>
    <n v="0.37691812400000002"/>
    <n v="0.33414806000000002"/>
    <n v="0.29541068399999998"/>
    <n v="0.32225518199999997"/>
    <n v="0.36513094699999998"/>
    <n v="0.31577683499999998"/>
    <n v="0.28133838801448852"/>
    <n v="0.34870000000000001"/>
    <n v="0.26113463146837301"/>
    <n v="0.322316467"/>
    <n v="0.36908626"/>
    <n v="0.36959067200000001"/>
    <n v="0.35150579300000001"/>
    <n v="0.385222701"/>
    <n v="0.36316318400000003"/>
    <n v="0.35146245999999998"/>
    <n v="0.36838711200000002"/>
    <n v="0.38478584100000002"/>
    <n v="0.45115924600000001"/>
    <n v="0.42791933399999998"/>
    <n v="0.43282402599999997"/>
    <n v="0.45717827999999999"/>
    <n v="0.47186176205997088"/>
    <n v="0.42970000000000003"/>
    <n v="5.3582707605672401E-2"/>
    <n v="6.8409729000000002E-2"/>
    <n v="7.8174679999999996E-2"/>
    <n v="0.12733066000000001"/>
    <n v="0.13116278300000001"/>
    <n v="0.18023312599999999"/>
    <n v="0.13066671199999999"/>
    <n v="0.185141263"/>
    <n v="0.14827332500000001"/>
    <n v="0.20722680199999999"/>
    <n v="0.17587112199999999"/>
    <n v="0.183479014"/>
    <n v="0.15721634500000001"/>
    <n v="0.170934582"/>
    <n v="0.16094868698658529"/>
    <n v="0.1142"/>
    <n v="0.1075"/>
    <n v="0.34870000000000001"/>
    <n v="0.77839999999999998"/>
    <n v="0.42970000000000003"/>
    <n v="0.78339999999999999"/>
    <n v="2.87E-2"/>
    <n v="0.7702"/>
    <n v="6.0699999999999997E-2"/>
    <n v="0.73070000000000002"/>
    <n v="8.7599999999999997E-2"/>
    <n v="0.68379999999999996"/>
    <n v="0.10929999999999999"/>
    <n v="0.72760000000000002"/>
    <n v="9.3399999999999997E-2"/>
    <n v="0.78339999999999999"/>
    <n v="2.87E-2"/>
    <n v="0.80389999999999995"/>
    <n v="4.6300000000000001E-2"/>
    <n v="0.78149999999999997"/>
    <n v="4.5699999999999998E-2"/>
    <n v="0.74909999999999999"/>
    <n v="6.2E-2"/>
    <n v="0.71"/>
    <n v="7.2400000000000006E-2"/>
    <n v="0.77869999999999995"/>
    <n v="4.58E-2"/>
    <n v="0.64959999999999996"/>
    <n v="0.15620000000000001"/>
    <n v="0.6663"/>
    <n v="0.16020000000000001"/>
    <n v="0.78290000000000004"/>
    <n v="7.5700000000000003E-2"/>
    <n v="0.73219999999999996"/>
    <n v="0.1011"/>
    <n v="0.69210000000000005"/>
    <n v="0.1192"/>
    <n v="0.7802"/>
    <n v="4.7699999999999999E-2"/>
    <n v="0.84409999999999996"/>
    <n v="1.3599999999999999E-2"/>
    <n v="0.75939999999999996"/>
    <n v="7.6700000000000004E-2"/>
  </r>
  <r>
    <x v="4"/>
    <n v="576"/>
    <n v="0.21037912176416901"/>
    <n v="0.173169755177386"/>
    <n v="0.24238163714921299"/>
    <n v="0.19274590020322299"/>
    <n v="0.161957891359127"/>
    <n v="0.125320522496914"/>
    <n v="0.139046005876096"/>
    <n v="0.113462426707393"/>
    <n v="0.108141115009038"/>
    <n v="8.0850643048676493E-2"/>
    <n v="6.5002459286696901E-2"/>
    <n v="6.4434242091688798E-2"/>
    <n v="6.0595656154705801E-2"/>
    <n v="5.9264016959097499E-2"/>
    <n v="7.0692482557594999E-2"/>
    <n v="7.8700000000000006E-2"/>
    <n v="0.47795935150319602"/>
    <n v="0.46488466060598599"/>
    <n v="0.35787504115825503"/>
    <n v="0.32683902593513098"/>
    <n v="0.344764149597859"/>
    <n v="0.321872167251744"/>
    <n v="0.36620911167678799"/>
    <n v="0.30165545273144501"/>
    <n v="0.37069533755321099"/>
    <n v="0.36090895984635202"/>
    <n v="0.27372240492550098"/>
    <n v="0.34645781120431501"/>
    <n v="0.34057829324994798"/>
    <n v="0.31855042002860701"/>
    <n v="0.26771311178154789"/>
    <n v="0.27929999999999999"/>
    <n v="0.27771736541224001"/>
    <n v="0.33243733851382001"/>
    <n v="0.32930129952093601"/>
    <n v="0.39523964126238398"/>
    <n v="0.38831684070958"/>
    <n v="0.431382669070008"/>
    <n v="0.39850355385811898"/>
    <n v="0.44425086925874002"/>
    <n v="0.40800318119537299"/>
    <n v="0.39434501462680199"/>
    <n v="0.46790115289321499"/>
    <n v="0.45063077852239197"/>
    <n v="0.44131978565806501"/>
    <n v="0.43975798574050201"/>
    <n v="0.50479101777384394"/>
    <n v="0.52059999999999995"/>
    <n v="3.3944161320395599E-2"/>
    <n v="2.9508245702807499E-2"/>
    <n v="7.04420221715958E-2"/>
    <n v="8.5175432599262399E-2"/>
    <n v="0.10496111833343399"/>
    <n v="0.121424641181334"/>
    <n v="9.6241328588997296E-2"/>
    <n v="0.14063125130242299"/>
    <n v="0.113160366242379"/>
    <n v="0.16389538247816901"/>
    <n v="0.19337398289458699"/>
    <n v="0.13847716818160399"/>
    <n v="0.15750626493728101"/>
    <n v="0.18242757727179301"/>
    <n v="0.15680338788701309"/>
    <n v="0.12139999999999999"/>
    <n v="7.8700000000000006E-2"/>
    <n v="0.27929999999999999"/>
    <n v="0.79989999999999994"/>
    <n v="0.52059999999999995"/>
    <n v="0.78969999999999996"/>
    <n v="1.6299999999999999E-2"/>
    <n v="0.79690000000000005"/>
    <n v="7.4300000000000005E-2"/>
    <n v="0.74070000000000003"/>
    <n v="0.10390000000000001"/>
    <n v="0.68889999999999996"/>
    <n v="0.1115"/>
    <n v="0.71950000000000003"/>
    <n v="9.0499999999999997E-2"/>
    <n v="0.78969999999999996"/>
    <n v="1.6299999999999999E-2"/>
    <n v="0.88290000000000002"/>
    <n v="2.07E-2"/>
    <n v="0.79339999999999999"/>
    <n v="4.4400000000000002E-2"/>
    <n v="0.749"/>
    <n v="7.8299999999999995E-2"/>
    <n v="0.74229999999999996"/>
    <n v="7.7399999999999997E-2"/>
    <n v="0.83050000000000002"/>
    <n v="3.6900000000000002E-2"/>
    <n v="0.52070000000000005"/>
    <n v="0.2495"/>
    <n v="0.67230000000000001"/>
    <n v="0.1666"/>
    <n v="0.82940000000000003"/>
    <n v="6.5199999999999994E-2"/>
    <n v="0.77410000000000001"/>
    <n v="8.1199999999999994E-2"/>
    <n v="0.74860000000000004"/>
    <n v="9.4600000000000004E-2"/>
    <n v="0.82399999999999995"/>
    <n v="3.8199999999999998E-2"/>
    <n v="0.86060000000000003"/>
    <n v="7.1999999999999998E-3"/>
    <n v="0.80459999999999998"/>
    <n v="6.0400000000000002E-2"/>
  </r>
  <r>
    <x v="5"/>
    <n v="1405"/>
    <n v="0.22153596168558701"/>
    <n v="0.23265750499999999"/>
    <n v="0.25861325099999999"/>
    <n v="0.21685589"/>
    <n v="0.189799149"/>
    <n v="0.12323936000000001"/>
    <n v="0.15177972100000001"/>
    <n v="0.129258382"/>
    <n v="9.3349893000000003E-2"/>
    <n v="8.1085635000000003E-2"/>
    <n v="7.6314051999999993E-2"/>
    <n v="7.0689376999999998E-2"/>
    <n v="5.4621310999999999E-2"/>
    <n v="5.5327782999999998E-2"/>
    <n v="7.5010939765906059E-2"/>
    <n v="8.4199999999999997E-2"/>
    <n v="0.44436614743293501"/>
    <n v="0.41120021000000001"/>
    <n v="0.359569686"/>
    <n v="0.32575559900000001"/>
    <n v="0.36676800900000001"/>
    <n v="0.30916199500000002"/>
    <n v="0.36876715700000001"/>
    <n v="0.33673249100000002"/>
    <n v="0.35209902700000001"/>
    <n v="0.34430580300000002"/>
    <n v="0.30713133599999998"/>
    <n v="0.32240556300000001"/>
    <n v="0.32495921"/>
    <n v="0.28984942699999999"/>
    <n v="0.2792288590218282"/>
    <n v="0.28589999999999999"/>
    <n v="0.29224397317599299"/>
    <n v="0.31219370899999999"/>
    <n v="0.30434301400000002"/>
    <n v="0.37062030499999998"/>
    <n v="0.35051293300000003"/>
    <n v="0.42489347199999999"/>
    <n v="0.36285706499999998"/>
    <n v="0.38423263800000002"/>
    <n v="0.43467497999999999"/>
    <n v="0.41161156799999998"/>
    <n v="0.47214826199999999"/>
    <n v="0.44127008899999998"/>
    <n v="0.47459215199999999"/>
    <n v="0.46640550600000003"/>
    <n v="0.48801162378649587"/>
    <n v="0.50509999999999999"/>
    <n v="4.1853917705484703E-2"/>
    <n v="4.3948576000000003E-2"/>
    <n v="7.7474049000000003E-2"/>
    <n v="8.6768207E-2"/>
    <n v="9.2919908999999995E-2"/>
    <n v="0.14270517299999999"/>
    <n v="0.116596058"/>
    <n v="0.14977649000000001"/>
    <n v="0.1198761"/>
    <n v="0.16299699400000001"/>
    <n v="0.14440634999999999"/>
    <n v="0.16563497099999999"/>
    <n v="0.14582732700000001"/>
    <n v="0.18841728499999999"/>
    <n v="0.1577485774257697"/>
    <n v="0.12479999999999999"/>
    <n v="8.4199999999999997E-2"/>
    <n v="0.28589999999999999"/>
    <n v="0.79099999999999993"/>
    <n v="0.50509999999999999"/>
    <n v="0.77990000000000004"/>
    <n v="2.4E-2"/>
    <n v="0.77110000000000001"/>
    <n v="7.5399999999999995E-2"/>
    <n v="0.71220000000000006"/>
    <n v="0.108"/>
    <n v="0.67759999999999998"/>
    <n v="0.121"/>
    <n v="0.71140000000000003"/>
    <n v="0.1181"/>
    <n v="0.77990000000000004"/>
    <n v="2.4E-2"/>
    <n v="0.87529999999999997"/>
    <n v="2.9899999999999999E-2"/>
    <n v="0.78369999999999995"/>
    <n v="4.7399999999999998E-2"/>
    <n v="0.70650000000000002"/>
    <n v="6.8000000000000005E-2"/>
    <n v="0.70199999999999996"/>
    <n v="7.6799999999999993E-2"/>
    <n v="0.81940000000000002"/>
    <n v="4.9799999999999997E-2"/>
    <n v="0.51119999999999999"/>
    <n v="0.25369999999999998"/>
    <n v="0.64680000000000004"/>
    <n v="0.20399999999999999"/>
    <n v="0.80730000000000002"/>
    <n v="9.5200000000000007E-2"/>
    <n v="0.74539999999999995"/>
    <n v="0.115"/>
    <n v="0.70440000000000003"/>
    <n v="0.13739999999999999"/>
    <n v="0.80789999999999995"/>
    <n v="4.4299999999999999E-2"/>
    <n v="0.87719999999999998"/>
    <n v="5.7000000000000002E-3"/>
    <n v="0.81089999999999995"/>
    <n v="5.9900000000000002E-2"/>
  </r>
  <r>
    <x v="6"/>
    <n v="1694"/>
    <n v="0.209020539823941"/>
    <n v="0.208398154300109"/>
    <n v="0.15840689851018799"/>
    <n v="0.17700040830070701"/>
    <n v="0.139636222249613"/>
    <n v="0.116362337110422"/>
    <n v="0.14580542784353501"/>
    <n v="0.107709539086913"/>
    <n v="0.100331450972189"/>
    <n v="7.9079342795486798E-2"/>
    <n v="6.9764464001998594E-2"/>
    <n v="6.0270811581319597E-2"/>
    <n v="5.91328886368074E-2"/>
    <n v="4.87686098803638E-2"/>
    <n v="5.9508859536803731E-2"/>
    <n v="9.1200000000000003E-2"/>
    <n v="0.461823285054974"/>
    <n v="0.414009931097232"/>
    <n v="0.40717415072080199"/>
    <n v="0.37713390127253799"/>
    <n v="0.37110886614279998"/>
    <n v="0.35180513879296299"/>
    <n v="0.396796324800123"/>
    <n v="0.35109334832766897"/>
    <n v="0.38401750878276703"/>
    <n v="0.36170898594589701"/>
    <n v="0.34039405045896298"/>
    <n v="0.32792320955837101"/>
    <n v="0.32861852531857599"/>
    <n v="0.31284871984034301"/>
    <n v="0.28862871211603253"/>
    <n v="0.28689999999999999"/>
    <n v="0.29414857173957099"/>
    <n v="0.32937177777876198"/>
    <n v="0.36923905736167101"/>
    <n v="0.34234980667776899"/>
    <n v="0.40262414823737502"/>
    <n v="0.42879330823412398"/>
    <n v="0.35852405661341702"/>
    <n v="0.38866443136593998"/>
    <n v="0.37827935036340399"/>
    <n v="0.39239564933115201"/>
    <n v="0.44308929681600301"/>
    <n v="0.45758081068676898"/>
    <n v="0.465189507737577"/>
    <n v="0.46273140420909897"/>
    <n v="0.50237983625536708"/>
    <n v="0.52249999999999996"/>
    <n v="3.5007603381513902E-2"/>
    <n v="4.8220136823896698E-2"/>
    <n v="6.5179893407338804E-2"/>
    <n v="0.103515883748987"/>
    <n v="8.6630763370211902E-2"/>
    <n v="0.103039215862492"/>
    <n v="9.8874190742925E-2"/>
    <n v="0.152532681219477"/>
    <n v="0.13737168988164"/>
    <n v="0.166816021927465"/>
    <n v="0.146752188723035"/>
    <n v="0.15422516817354101"/>
    <n v="0.14705907830703899"/>
    <n v="0.17565126607019399"/>
    <n v="0.14948259209179671"/>
    <n v="9.9400000000000002E-2"/>
    <n v="9.1200000000000003E-2"/>
    <n v="0.28689999999999999"/>
    <n v="0.8093999999999999"/>
    <n v="0.52249999999999996"/>
    <n v="0.79769999999999996"/>
    <n v="2.29E-2"/>
    <n v="0.80400000000000005"/>
    <n v="6.9000000000000006E-2"/>
    <n v="0.74650000000000005"/>
    <n v="0.1066"/>
    <n v="0.69599999999999995"/>
    <n v="0.13400000000000001"/>
    <n v="0.69950000000000001"/>
    <n v="0.12"/>
    <n v="0.79769999999999996"/>
    <n v="2.29E-2"/>
    <n v="0.86360000000000003"/>
    <n v="4.02E-2"/>
    <n v="0.80530000000000002"/>
    <n v="5.8599999999999999E-2"/>
    <n v="0.74080000000000001"/>
    <n v="0.1013"/>
    <n v="0.6835"/>
    <n v="9.3200000000000005E-2"/>
    <n v="0.8347"/>
    <n v="4.6199999999999998E-2"/>
    <n v="0.49059999999999998"/>
    <n v="0.29010000000000002"/>
    <n v="0.65480000000000005"/>
    <n v="0.1915"/>
    <n v="0.81459999999999999"/>
    <n v="8.6900000000000005E-2"/>
    <n v="0.74139999999999995"/>
    <n v="0.1099"/>
    <n v="0.71160000000000001"/>
    <n v="0.1341"/>
    <n v="0.82709999999999995"/>
    <n v="5.5300000000000002E-2"/>
    <n v="0.90959999999999996"/>
    <n v="5.1000000000000004E-3"/>
    <n v="0.80859999999999999"/>
    <n v="7.0599999999999996E-2"/>
  </r>
  <r>
    <x v="7"/>
    <n v="1128"/>
    <n v="0.21795778814137701"/>
    <n v="0.20925840200000001"/>
    <n v="0.18937242100000001"/>
    <n v="0.15712005100000001"/>
    <n v="0.15627006299999999"/>
    <n v="0.12741283"/>
    <n v="0.121318252"/>
    <n v="9.7637066999999994E-2"/>
    <n v="0.10034683699999999"/>
    <n v="5.8387821999999999E-2"/>
    <n v="6.7417847000000003E-2"/>
    <n v="7.0401241000000003E-2"/>
    <n v="4.4991899000000002E-2"/>
    <n v="5.0797331000000001E-2"/>
    <n v="6.7298065123777909E-2"/>
    <n v="8.14E-2"/>
    <n v="0.42726139520819001"/>
    <n v="0.41589828400000001"/>
    <n v="0.37432157599999999"/>
    <n v="0.38836184299999998"/>
    <n v="0.382492836"/>
    <n v="0.36398244400000002"/>
    <n v="0.43839602700000002"/>
    <n v="0.37558858000000001"/>
    <n v="0.36313117700000003"/>
    <n v="0.36380538099999998"/>
    <n v="0.30927685700000002"/>
    <n v="0.34071760600000001"/>
    <n v="0.37055221799999999"/>
    <n v="0.30527415200000002"/>
    <n v="0.28731039954139692"/>
    <n v="0.27239999999999998"/>
    <n v="0.31603748914157498"/>
    <n v="0.32750937600000002"/>
    <n v="0.368483224"/>
    <n v="0.36953722100000003"/>
    <n v="0.347121069"/>
    <n v="0.39186053500000001"/>
    <n v="0.35663082699999998"/>
    <n v="0.39320840400000001"/>
    <n v="0.40838307299999999"/>
    <n v="0.42080305000000001"/>
    <n v="0.494500622"/>
    <n v="0.45155262600000001"/>
    <n v="0.46724884"/>
    <n v="0.47628704399999999"/>
    <n v="0.49654430855187959"/>
    <n v="0.50990000000000002"/>
    <n v="3.8743327508858401E-2"/>
    <n v="4.7333937999999999E-2"/>
    <n v="6.7822779E-2"/>
    <n v="8.4980885000000006E-2"/>
    <n v="0.11411603200000001"/>
    <n v="0.116744191"/>
    <n v="8.3654893999999994E-2"/>
    <n v="0.13356594799999999"/>
    <n v="0.12813891399999999"/>
    <n v="0.157003747"/>
    <n v="0.12880467400000001"/>
    <n v="0.13732852700000001"/>
    <n v="0.117207044"/>
    <n v="0.16764147400000001"/>
    <n v="0.1488472267829456"/>
    <n v="0.1363"/>
    <n v="8.14E-2"/>
    <n v="0.27239999999999998"/>
    <n v="0.7823"/>
    <n v="0.50990000000000002"/>
    <n v="0.81420000000000003"/>
    <n v="1.4800000000000001E-2"/>
    <n v="0.78739999999999999"/>
    <n v="6.9400000000000003E-2"/>
    <n v="0.74560000000000004"/>
    <n v="9.6799999999999997E-2"/>
    <n v="0.69450000000000001"/>
    <n v="0.1132"/>
    <n v="0.70079999999999998"/>
    <n v="0.1157"/>
    <n v="0.81420000000000003"/>
    <n v="1.4800000000000001E-2"/>
    <n v="0.87229999999999996"/>
    <n v="3.4000000000000002E-2"/>
    <n v="0.81740000000000002"/>
    <n v="6.0100000000000001E-2"/>
    <n v="0.73140000000000005"/>
    <n v="0.1053"/>
    <n v="0.71589999999999998"/>
    <n v="7.6499999999999999E-2"/>
    <n v="0.84899999999999998"/>
    <n v="3.9100000000000003E-2"/>
    <n v="0.51249999999999996"/>
    <n v="0.2621"/>
    <n v="0.65749999999999997"/>
    <n v="0.19320000000000001"/>
    <n v="0.80610000000000004"/>
    <n v="7.8299999999999995E-2"/>
    <n v="0.73860000000000003"/>
    <n v="0.1108"/>
    <n v="0.71599999999999997"/>
    <n v="0.1235"/>
    <n v="0.83199999999999996"/>
    <n v="3.9699999999999999E-2"/>
    <n v="0.87439999999999996"/>
    <n v="8.6E-3"/>
    <n v="0.81879999999999997"/>
    <n v="6.1600000000000002E-2"/>
  </r>
  <r>
    <x v="8"/>
    <n v="1170"/>
    <n v="0.20253309361181501"/>
    <n v="0.21120307999999999"/>
    <n v="0.213768135"/>
    <n v="0.14628927799999999"/>
    <n v="0.15629984899999999"/>
    <n v="0.10984432299999999"/>
    <n v="0.16213202400000001"/>
    <n v="9.8268490999999999E-2"/>
    <n v="0.10800000799999999"/>
    <n v="9.7435361999999998E-2"/>
    <n v="7.8968981999999993E-2"/>
    <n v="8.2834122999999996E-2"/>
    <n v="4.4008765999999998E-2"/>
    <n v="6.3870640000000006E-2"/>
    <n v="6.9268884293985034E-2"/>
    <n v="9.9199999999999997E-2"/>
    <n v="0.44952990998589898"/>
    <n v="0.41285827899999999"/>
    <n v="0.40065915400000002"/>
    <n v="0.37143491699999998"/>
    <n v="0.39273888000000001"/>
    <n v="0.34547198800000001"/>
    <n v="0.35279188700000003"/>
    <n v="0.363348"/>
    <n v="0.38132149799999998"/>
    <n v="0.32642553899999999"/>
    <n v="0.30045429899999998"/>
    <n v="0.32692666799999998"/>
    <n v="0.34920873400000002"/>
    <n v="0.292211267"/>
    <n v="0.25849797860420398"/>
    <n v="0.28089999999999998"/>
    <n v="0.30277812791347197"/>
    <n v="0.30282077299999999"/>
    <n v="0.311278956"/>
    <n v="0.362195716"/>
    <n v="0.36551702899999999"/>
    <n v="0.40974678399999998"/>
    <n v="0.38171870499999999"/>
    <n v="0.37106250299999999"/>
    <n v="0.34346087600000003"/>
    <n v="0.39567586599999999"/>
    <n v="0.44750592300000003"/>
    <n v="0.42502769899999998"/>
    <n v="0.440102665"/>
    <n v="0.44362908299999998"/>
    <n v="0.51026302588119699"/>
    <n v="0.50239999999999996"/>
    <n v="4.5158868488814299E-2"/>
    <n v="7.3117868000000003E-2"/>
    <n v="7.4293754000000004E-2"/>
    <n v="0.120080089"/>
    <n v="8.5444241000000004E-2"/>
    <n v="0.134936905"/>
    <n v="0.103357384"/>
    <n v="0.16732100599999999"/>
    <n v="0.16721761800000001"/>
    <n v="0.180463233"/>
    <n v="0.173070795"/>
    <n v="0.16521151000000001"/>
    <n v="0.166679834"/>
    <n v="0.20028900999999999"/>
    <n v="0.161970111220614"/>
    <n v="0.11749999999999999"/>
    <n v="9.9199999999999997E-2"/>
    <n v="0.28089999999999998"/>
    <n v="0.78329999999999989"/>
    <n v="0.50239999999999996"/>
    <n v="0.75209999999999999"/>
    <n v="2.8500000000000001E-2"/>
    <n v="0.77649999999999997"/>
    <n v="7.8600000000000003E-2"/>
    <n v="0.7379"/>
    <n v="0.1028"/>
    <n v="0.70720000000000005"/>
    <n v="0.11"/>
    <n v="0.73299999999999998"/>
    <n v="9.8299999999999998E-2"/>
    <n v="0.75209999999999999"/>
    <n v="2.8500000000000001E-2"/>
    <n v="0.83909999999999996"/>
    <n v="3.5499999999999997E-2"/>
    <n v="0.78080000000000005"/>
    <n v="6.5699999999999995E-2"/>
    <n v="0.74819999999999998"/>
    <n v="6.8000000000000005E-2"/>
    <n v="0.69710000000000005"/>
    <n v="8.2000000000000003E-2"/>
    <n v="0.8054"/>
    <n v="4.9700000000000001E-2"/>
    <n v="0.501"/>
    <n v="0.26469999999999999"/>
    <n v="0.65610000000000002"/>
    <n v="0.1719"/>
    <n v="0.83120000000000005"/>
    <n v="6.8599999999999994E-2"/>
    <n v="0.7319"/>
    <n v="0.1066"/>
    <n v="0.69179999999999997"/>
    <n v="0.124"/>
    <n v="0.80010000000000003"/>
    <n v="5.74E-2"/>
    <n v="0.8528"/>
    <n v="7.1999999999999998E-3"/>
    <n v="0.80059999999999998"/>
    <n v="7.1599999999999997E-2"/>
  </r>
  <r>
    <x v="9"/>
    <n v="1092"/>
    <n v="0.20714688487341601"/>
    <n v="0.219923701"/>
    <n v="0.21338073199999999"/>
    <n v="0.196869871"/>
    <n v="0.16335895"/>
    <n v="0.115216501"/>
    <n v="0.119147687"/>
    <n v="0.109330497"/>
    <n v="9.8397892000000001E-2"/>
    <n v="8.3349835999999997E-2"/>
    <n v="7.2142553999999998E-2"/>
    <n v="7.1471608000000006E-2"/>
    <n v="5.1598078999999998E-2"/>
    <n v="4.6611719000000003E-2"/>
    <n v="6.527724102230989E-2"/>
    <n v="9.0999999999999998E-2"/>
    <n v="0.48564462095709499"/>
    <n v="0.42550510899999999"/>
    <n v="0.37880341200000001"/>
    <n v="0.33835324700000002"/>
    <n v="0.36940703000000003"/>
    <n v="0.31835490300000002"/>
    <n v="0.39093208299999999"/>
    <n v="0.32720235199999997"/>
    <n v="0.34711637000000001"/>
    <n v="0.33844576599999998"/>
    <n v="0.32329584099999997"/>
    <n v="0.30793079800000001"/>
    <n v="0.33592424300000001"/>
    <n v="0.308124697"/>
    <n v="0.26251622533341329"/>
    <n v="0.28649999999999998"/>
    <n v="0.26404770787013898"/>
    <n v="0.30985326499999999"/>
    <n v="0.32623938499999999"/>
    <n v="0.37256314499999998"/>
    <n v="0.36929767099999999"/>
    <n v="0.437317662"/>
    <n v="0.36623989200000001"/>
    <n v="0.41939469600000001"/>
    <n v="0.43872677799999998"/>
    <n v="0.40607958799999999"/>
    <n v="0.44952257000000001"/>
    <n v="0.439361471"/>
    <n v="0.44398278400000002"/>
    <n v="0.468709559"/>
    <n v="0.50427912857945445"/>
    <n v="0.50870000000000004"/>
    <n v="4.3160786299348698E-2"/>
    <n v="4.4717924999999999E-2"/>
    <n v="8.1576469999999998E-2"/>
    <n v="9.2213737000000004E-2"/>
    <n v="9.7936349000000006E-2"/>
    <n v="0.12911093400000001"/>
    <n v="0.123680338"/>
    <n v="0.14407245499999999"/>
    <n v="0.11575895899999999"/>
    <n v="0.17212481099999999"/>
    <n v="0.15503903499999999"/>
    <n v="0.181236123"/>
    <n v="0.16849489400000001"/>
    <n v="0.176554025"/>
    <n v="0.1679274050648224"/>
    <n v="0.1138"/>
    <n v="9.0999999999999998E-2"/>
    <n v="0.28649999999999998"/>
    <n v="0.79520000000000002"/>
    <n v="0.50870000000000004"/>
    <n v="0.78100000000000003"/>
    <n v="1.5800000000000002E-2"/>
    <n v="0.77480000000000004"/>
    <n v="7.6600000000000001E-2"/>
    <n v="0.74019999999999997"/>
    <n v="0.10199999999999999"/>
    <n v="0.70709999999999995"/>
    <n v="0.1237"/>
    <n v="0.72340000000000004"/>
    <n v="0.1071"/>
    <n v="0.78100000000000003"/>
    <n v="1.5800000000000002E-2"/>
    <n v="0.88109999999999999"/>
    <n v="3.8199999999999998E-2"/>
    <n v="0.79700000000000004"/>
    <n v="6.2600000000000003E-2"/>
    <n v="0.73909999999999998"/>
    <n v="9.8299999999999998E-2"/>
    <n v="0.70909999999999995"/>
    <n v="8.4599999999999995E-2"/>
    <n v="0.81359999999999999"/>
    <n v="4.9299999999999997E-2"/>
    <n v="0.53510000000000002"/>
    <n v="0.25230000000000002"/>
    <n v="0.67159999999999997"/>
    <n v="0.18720000000000001"/>
    <n v="0.82630000000000003"/>
    <n v="8.2500000000000004E-2"/>
    <n v="0.74609999999999999"/>
    <n v="0.1075"/>
    <n v="0.71030000000000004"/>
    <n v="0.12089999999999999"/>
    <n v="0.80600000000000005"/>
    <n v="5.0299999999999997E-2"/>
    <n v="0.88460000000000005"/>
    <n v="7.9000000000000008E-3"/>
    <n v="0.81640000000000001"/>
    <n v="6.7500000000000004E-2"/>
  </r>
  <r>
    <x v="10"/>
    <n v="13266"/>
    <n v="0.2"/>
    <n v="0.20479999999999998"/>
    <n v="0.18480000000000002"/>
    <n v="0.17609999999999998"/>
    <n v="0.1439"/>
    <n v="0.1147"/>
    <n v="0.14610000000000001"/>
    <n v="0.1133"/>
    <n v="0.1052"/>
    <n v="8.4000000000000005E-2"/>
    <n v="7.4099999999999999E-2"/>
    <n v="7.1300000000000002E-2"/>
    <n v="5.4699999999999999E-2"/>
    <n v="5.6899999999999999E-2"/>
    <n v="7.032265526714844E-2"/>
    <n v="8.8999999999999996E-2"/>
    <n v="0.46"/>
    <n v="0.4249"/>
    <n v="0.38119999999999998"/>
    <n v="0.3579"/>
    <n v="0.37490000000000001"/>
    <n v="0.33700000000000002"/>
    <n v="0.38219999999999998"/>
    <n v="0.3523"/>
    <n v="0.36969999999999997"/>
    <n v="0.35349999999999998"/>
    <n v="0.30759999999999998"/>
    <n v="0.32819999999999999"/>
    <n v="0.34420000000000001"/>
    <n v="0.30409999999999998"/>
    <n v="0.2757"/>
    <n v="0.29149999999999998"/>
    <n v="0.28999999999999998"/>
    <n v="0.31969999999999998"/>
    <n v="0.36040000000000005"/>
    <n v="0.36869999999999997"/>
    <n v="0.3821"/>
    <n v="0.41970000000000002"/>
    <n v="0.36799999999999999"/>
    <n v="0.38650000000000001"/>
    <n v="0.39290000000000003"/>
    <n v="0.39269999999999999"/>
    <n v="0.46129999999999999"/>
    <n v="0.44240000000000002"/>
    <n v="0.44929999999999998"/>
    <n v="0.4551"/>
    <n v="0.4919906881821271"/>
    <n v="0.50329999999999997"/>
    <n v="0.04"/>
    <n v="5.0499999999999996E-2"/>
    <n v="7.3599999999999999E-2"/>
    <n v="9.7299999999999998E-2"/>
    <n v="9.9000000000000005E-2"/>
    <n v="0.12859999999999999"/>
    <n v="0.1037"/>
    <n v="0.14779999999999999"/>
    <n v="0.13220000000000001"/>
    <n v="0.16969999999999999"/>
    <n v="0.157"/>
    <n v="0.15820000000000001"/>
    <n v="0.1517"/>
    <n v="0.18390000000000001"/>
    <n v="0.16201580035471"/>
    <n v="0.1162"/>
    <n v="8.8999999999999996E-2"/>
    <n v="0.29149999999999998"/>
    <n v="0.79479999999999995"/>
    <n v="0.50329999999999997"/>
    <n v="0.78449999999999998"/>
    <n v="2.1399999999999999E-2"/>
    <n v="0.78069999999999995"/>
    <n v="6.9699999999999998E-2"/>
    <n v="0.73170000000000002"/>
    <n v="0.1017"/>
    <n v="0.69059999999999999"/>
    <n v="0.1197"/>
    <n v="0.71579999999999999"/>
    <n v="0.1095"/>
    <n v="0.78449999999999998"/>
    <n v="2.1399999999999999E-2"/>
    <n v="0.86060000000000003"/>
    <n v="3.5999999999999997E-2"/>
    <n v="0.79390000000000005"/>
    <n v="5.4800000000000001E-2"/>
    <n v="0.71389999999999998"/>
    <n v="7.2400000000000006E-2"/>
    <n v="0.70299999999999996"/>
    <n v="8.1900000000000001E-2"/>
    <n v="0.81950000000000001"/>
    <n v="4.7100000000000003E-2"/>
    <n v="0.53269999999999995"/>
    <n v="0.24660000000000001"/>
    <n v="0.65739999999999998"/>
    <n v="0.1855"/>
    <n v="0.80989999999999995"/>
    <n v="8.2100000000000006E-2"/>
    <n v="0.73529999999999995"/>
    <n v="0.1096"/>
    <n v="0.70250000000000001"/>
    <n v="0.1265"/>
    <n v="0.81110000000000004"/>
    <n v="4.8399999999999999E-2"/>
    <n v="0.87670000000000003"/>
    <n v="7.1000000000000004E-3"/>
    <n v="0.80489999999999995"/>
    <n v="6.7100000000000007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904AE48-4E8E-4FEB-A532-F257775054C6}"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1:DD3" firstHeaderRow="0" firstDataRow="1" firstDataCol="1"/>
  <pivotFields count="108">
    <pivotField axis="axisRow" showAll="0">
      <items count="12">
        <item n="East Midlands" h="1" x="1"/>
        <item n="East of England" h="1" x="2"/>
        <item h="1" x="0"/>
        <item h="1" x="3"/>
        <item n="North East" h="1" x="4"/>
        <item n="North West" h="1" x="5"/>
        <item n="South East" h="1" x="6"/>
        <item n="South West" h="1" x="7"/>
        <item n="West Midlands" h="1" x="8"/>
        <item h="1" x="9"/>
        <item x="10"/>
        <item t="default"/>
      </items>
    </pivotField>
    <pivotField dataField="1" showAll="0"/>
    <pivotField dataField="1" numFmtId="164"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9" showAll="0"/>
    <pivotField dataField="1" numFmtId="164"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9" showAll="0"/>
    <pivotField dataField="1" numFmtId="164"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9" showAll="0"/>
    <pivotField dataField="1" numFmtId="164"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9" showAll="0"/>
    <pivotField dataField="1" numFmtId="10" showAll="0"/>
    <pivotField dataField="1" showAll="0"/>
    <pivotField dataField="1" showAll="0"/>
    <pivotField dataField="1" numFmtId="10" showAll="0"/>
    <pivotField dataField="1" numFmtId="9" showAll="0"/>
    <pivotField dataField="1" numFmtId="9" showAll="0"/>
    <pivotField dataField="1" numFmtId="9" showAll="0"/>
    <pivotField dataField="1" numFmtId="9" showAll="0"/>
    <pivotField dataField="1" numFmtId="9" showAll="0"/>
    <pivotField dataField="1" numFmtId="9" showAll="0"/>
    <pivotField dataField="1" numFmtId="9" showAll="0"/>
    <pivotField dataField="1" numFmtId="9" showAll="0"/>
    <pivotField dataField="1" numFmtId="9" showAll="0"/>
    <pivotField dataField="1" numFmtId="9" showAll="0"/>
    <pivotField dataField="1" numFmtId="10" showAll="0"/>
    <pivotField dataField="1" numFmtId="10" showAll="0"/>
    <pivotField dataField="1" numFmtId="10" showAll="0"/>
    <pivotField dataField="1" numFmtId="10" showAll="0"/>
    <pivotField dataField="1" numFmtId="10" showAll="0"/>
    <pivotField dataField="1" numFmtId="10" showAll="0"/>
    <pivotField dataField="1" numFmtId="10" showAll="0"/>
    <pivotField dataField="1" numFmtId="10"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9" showAll="0"/>
    <pivotField dataField="1" numFmtId="9" showAll="0"/>
    <pivotField dataField="1" numFmtId="9" showAll="0"/>
    <pivotField dataField="1" numFmtId="9" showAll="0"/>
    <pivotField dataField="1" showAll="0"/>
    <pivotField dataField="1" showAll="0"/>
    <pivotField dataField="1" numFmtId="9" showAll="0"/>
    <pivotField dataField="1" numFmtId="9" showAll="0"/>
    <pivotField dataField="1" numFmtId="9" showAll="0"/>
    <pivotField dataField="1" numFmtId="9" showAll="0"/>
    <pivotField dataField="1" showAll="0"/>
    <pivotField dataField="1" showAll="0"/>
  </pivotFields>
  <rowFields count="1">
    <field x="0"/>
  </rowFields>
  <rowItems count="2">
    <i>
      <x v="10"/>
    </i>
    <i t="grand">
      <x/>
    </i>
  </rowItems>
  <colFields count="1">
    <field x="-2"/>
  </colFields>
  <colItems count="10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i i="73">
      <x v="73"/>
    </i>
    <i i="74">
      <x v="74"/>
    </i>
    <i i="75">
      <x v="75"/>
    </i>
    <i i="76">
      <x v="76"/>
    </i>
    <i i="77">
      <x v="77"/>
    </i>
    <i i="78">
      <x v="78"/>
    </i>
    <i i="79">
      <x v="79"/>
    </i>
    <i i="80">
      <x v="80"/>
    </i>
    <i i="81">
      <x v="81"/>
    </i>
    <i i="82">
      <x v="82"/>
    </i>
    <i i="83">
      <x v="83"/>
    </i>
    <i i="84">
      <x v="84"/>
    </i>
    <i i="85">
      <x v="85"/>
    </i>
    <i i="86">
      <x v="86"/>
    </i>
    <i i="87">
      <x v="87"/>
    </i>
    <i i="88">
      <x v="88"/>
    </i>
    <i i="89">
      <x v="89"/>
    </i>
    <i i="90">
      <x v="90"/>
    </i>
    <i i="91">
      <x v="91"/>
    </i>
    <i i="92">
      <x v="92"/>
    </i>
    <i i="93">
      <x v="93"/>
    </i>
    <i i="94">
      <x v="94"/>
    </i>
    <i i="95">
      <x v="95"/>
    </i>
    <i i="96">
      <x v="96"/>
    </i>
    <i i="97">
      <x v="97"/>
    </i>
    <i i="98">
      <x v="98"/>
    </i>
    <i i="99">
      <x v="99"/>
    </i>
    <i i="100">
      <x v="100"/>
    </i>
    <i i="101">
      <x v="101"/>
    </i>
    <i i="102">
      <x v="102"/>
    </i>
    <i i="103">
      <x v="103"/>
    </i>
    <i i="104">
      <x v="104"/>
    </i>
    <i i="105">
      <x v="105"/>
    </i>
    <i i="106">
      <x v="106"/>
    </i>
  </colItems>
  <dataFields count="107">
    <dataField name="Sum of DK2023" fld="64" baseField="0" baseItem="2"/>
    <dataField name="Sum of NE2023" fld="48" baseField="0" baseItem="2"/>
    <dataField name="Sum of TM2023" fld="16" baseField="0" baseItem="2"/>
    <dataField name="Sum of AR2023" fld="32" baseField="0" baseItem="2"/>
    <dataField name="Sum of Sample size" fld="1" baseField="0" baseItem="0"/>
    <dataField name="Sum of Gov't activities to limit smoking (Too much)" fld="66" baseField="0" baseItem="0"/>
    <dataField name="Sum of Gov't activities to limit smoking (About Right)" fld="67" baseField="0" baseItem="0"/>
    <dataField name="Sum of Gov't activities to limit smoking (About Right or Not Enough)" fld="68" baseField="0" baseItem="0"/>
    <dataField name="Sum of Gov't activities to limit smoking (Not enough)" fld="69" baseField="0" baseItem="0"/>
    <dataField name="Sum of protecting health policy from influence of tobacco (Support)" fld="80" baseField="0" baseItem="0"/>
    <dataField name="Sum of protecting health policy from influence of tobacco (Oppose)" fld="81" baseField="0" baseItem="0"/>
    <dataField name="Sum of Requiring businesses to have a valid licence to sell tobacco (Support)" fld="82" baseField="0" baseItem="0"/>
    <dataField name="Sum of Requiring businesses to have a valid licence to sell tobacco (Oppose)" fld="83" baseField="0" baseItem="0"/>
    <dataField name="Sum of  Requiring tobacco manufacturers to pay a levy to Government (Support)" fld="84" baseField="0" baseItem="0"/>
    <dataField name="Sum of  Requiring tobacco manufacturers to pay a levy to Government (Oppose)" fld="85" baseField="0" baseItem="0"/>
    <dataField name="Sum of Require cigarette packs to include inserts with Government information about quitting (Support)" fld="86" baseField="0" baseItem="0"/>
    <dataField name="Sum of Banning names of sweets, cartoons, and bright colours on e-cigarette packaging (Oppose)" fld="91" baseField="0" baseItem="0"/>
    <dataField name="Sum of Require cigarette packs to include inserts with Government information about quitting (Oppose)" fld="87" baseField="0" baseItem="0"/>
    <dataField name="Sum of Health warnings printed on cigarette sticks to encourage smokers to quit (Support)" fld="88" baseField="0" baseItem="0"/>
    <dataField name="Sum of Health warnings printed on cigarette sticks to encourage smokers to quit (Oppose)" fld="89" baseField="0" baseItem="0"/>
    <dataField name="Sum of Banning names of sweets, cartoons, and bright colours on e-cigarette packaging (Support)" fld="90" baseField="0" baseItem="0"/>
    <dataField name="Sum of TM2010" fld="3" baseField="0" baseItem="0"/>
    <dataField name="Sum of TM2011" fld="4" baseField="0" baseItem="0"/>
    <dataField name="Sum of TM2012" fld="5" baseField="0" baseItem="0"/>
    <dataField name="Sum of TM2013" fld="6" baseField="0" baseItem="0"/>
    <dataField name="Sum of TM2014" fld="7" baseField="0" baseItem="0"/>
    <dataField name="Sum of TM2015" fld="8" baseField="0" baseItem="0"/>
    <dataField name="Sum of TM2016" fld="9" baseField="0" baseItem="0"/>
    <dataField name="Sum of TM2017" fld="10" baseField="0" baseItem="0"/>
    <dataField name="Sum of TM2018" fld="11" baseField="0" baseItem="0"/>
    <dataField name="Sum of TM2019" fld="12" baseField="0" baseItem="0"/>
    <dataField name="Sum of TM2020" fld="13" baseField="0" baseItem="0"/>
    <dataField name="Sum of TM2021" fld="14" baseField="0" baseItem="0"/>
    <dataField name="Sum of TM2022" fld="15" baseField="0" baseItem="0"/>
    <dataField name="Sum of AR2010" fld="19" baseField="0" baseItem="0"/>
    <dataField name="Sum of AR2011" fld="20" baseField="0" baseItem="0"/>
    <dataField name="Sum of AR2012" fld="21" baseField="0" baseItem="0"/>
    <dataField name="Sum of AR2013" fld="22" baseField="0" baseItem="0"/>
    <dataField name="Sum of AR2014" fld="23" baseField="0" baseItem="0"/>
    <dataField name="Sum of AR2015" fld="24" baseField="0" baseItem="0"/>
    <dataField name="Sum of AR2016" fld="25" baseField="0" baseItem="0"/>
    <dataField name="Sum of AR2017" fld="26" baseField="0" baseItem="0"/>
    <dataField name="Sum of AR2018" fld="27" baseField="0" baseItem="0"/>
    <dataField name="Sum of AR2019" fld="28" baseField="0" baseItem="0"/>
    <dataField name="Sum of AR2020" fld="29" baseField="0" baseItem="0"/>
    <dataField name="Sum of AR2021" fld="30" baseField="0" baseItem="0"/>
    <dataField name="Sum of AR2022" fld="31" baseField="0" baseItem="0"/>
    <dataField name="Sum of NE2010" fld="35" baseField="0" baseItem="0"/>
    <dataField name="Sum of NE2011" fld="36" baseField="0" baseItem="0"/>
    <dataField name="Sum of NE2012" fld="37" baseField="0" baseItem="0"/>
    <dataField name="Sum of NE2013" fld="38" baseField="0" baseItem="0"/>
    <dataField name="Sum of NE2014" fld="39" baseField="0" baseItem="0"/>
    <dataField name="Sum of NE2015" fld="40" baseField="0" baseItem="0"/>
    <dataField name="Sum of NE2016" fld="41" baseField="0" baseItem="0"/>
    <dataField name="Sum of NE2017" fld="42" baseField="0" baseItem="0"/>
    <dataField name="Sum of NE2018" fld="43" baseField="0" baseItem="0"/>
    <dataField name="Sum of NE2019" fld="44" baseField="0" baseItem="0"/>
    <dataField name="Sum of NE2020" fld="45" baseField="0" baseItem="0"/>
    <dataField name="Sum of NE2021" fld="46" baseField="0" baseItem="0"/>
    <dataField name="Sum of NE2022" fld="47" baseField="0" baseItem="0"/>
    <dataField name="Sum of DK2010" fld="51" baseField="0" baseItem="0"/>
    <dataField name="Sum of DK2011" fld="52" baseField="0" baseItem="0"/>
    <dataField name="Sum of DK2012" fld="53" baseField="0" baseItem="0"/>
    <dataField name="Sum of DK2013" fld="54" baseField="0" baseItem="0"/>
    <dataField name="Sum of DK2014" fld="55" baseField="0" baseItem="0"/>
    <dataField name="Sum of DK2015" fld="56" baseField="0" baseItem="0"/>
    <dataField name="Sum of DK2016" fld="57" baseField="0" baseItem="0"/>
    <dataField name="Sum of DK2018" fld="59" baseField="0" baseItem="0"/>
    <dataField name="Sum of DK2017" fld="58" baseField="0" baseItem="0"/>
    <dataField name="Sum of DK2019" fld="60" baseField="0" baseItem="0"/>
    <dataField name="Sum of DK2020" fld="61" baseField="0" baseItem="0"/>
    <dataField name="Sum of DK2021" fld="62" baseField="0" baseItem="0"/>
    <dataField name="Sum of DK2022" fld="63" baseField="0" baseItem="0"/>
    <dataField name="Sum of Restaurant pub café smoking ban (Support)" fld="94" baseField="0" baseItem="0"/>
    <dataField name="Sum of Restaurant pub café smoking ban (Oppose)" fld="95" baseField="0" baseItem="0"/>
    <dataField name="Sum of TM2009" fld="2" baseField="0" baseItem="0"/>
    <dataField name="Sum of AR2009" fld="18" baseField="0" baseItem="0"/>
    <dataField name="Sum of NE2009" fld="34" baseField="0" baseItem="0"/>
    <dataField name="Sum of DK2009" fld="50" baseField="0" baseItem="0"/>
    <dataField name="Sum of Smoking should be banned in further education colleges (Support)" fld="98" baseField="0" baseItem="0"/>
    <dataField name="Sum of Smoking should be banned in further education colleges (Oppose)" fld="99" baseField="0" baseItem="0"/>
    <dataField name="Sum of pos advertising ban (Support)" fld="102" baseField="0" baseItem="0"/>
    <dataField name="Sum of pos advertising ban (Oppose)" fld="103" baseField="0" baseItem="0"/>
    <dataField name="Sum of Smoking should be banned on university and college campuses (Oppose)" fld="101" baseField="0" baseItem="0"/>
    <dataField name="Sum of Smoking should be banned on university and college campuses (Support)" fld="100" baseField="0" baseItem="0"/>
    <dataField name="Sum of ageup (Support)" fld="76" baseField="0" baseItem="0"/>
    <dataField name="Sum of ageup (Oppose)" fld="77" baseField="0" baseItem="0"/>
    <dataField name="Sum of declare (Support)" fld="104" baseField="0" baseItem="0"/>
    <dataField name="Sum of declare (Oppose)" fld="105" baseField="0" baseItem="0"/>
    <dataField name="Sum of financial incentives for pregnant women (Support)" fld="92" baseField="0" baseItem="0"/>
    <dataField name="Sum of financial incentives for pregnant women (Oppose)" fld="93" baseField="0" baseItem="0"/>
    <dataField name="Sum of TM2024" fld="17" baseField="0" baseItem="0"/>
    <dataField name="Sum of AR2024" fld="33" baseField="0" baseItem="0"/>
    <dataField name="Sum of NE2024" fld="49" baseField="0" baseItem="0"/>
    <dataField name="Sum of DK2024" fld="65" baseField="0" baseItem="0"/>
    <dataField name="Sum of Smokefree gen (Support)" fld="72" baseField="0" baseItem="0"/>
    <dataField name="Sum of Smokefree gen (Oppose)" fld="73" baseField="0" baseItem="0"/>
    <dataField name="Sum of GB noone smokes (Support)" fld="74" baseField="0" baseItem="0"/>
    <dataField name="Sum of GB noone smokes (Oppose)" fld="75" baseField="0" baseItem="0"/>
    <dataField name="Sum of Mandatory age verification (Support)" fld="78" baseField="0" baseItem="0"/>
    <dataField name="Sum of Mandatory age verification (Oppose)" fld="79" baseField="0" baseItem="0"/>
    <dataField name="Sum of Ban sale and import of disposables (Support)" fld="106" baseField="0" baseItem="0"/>
    <dataField name="Sum of Ban sale and import of disposables (Oppose)" fld="107" baseField="0" baseItem="0"/>
    <dataField name="Sum of Smoking should be banned in all public transport waiting areas (Support)" fld="96" baseField="0" baseItem="0"/>
    <dataField name="Sum of Smoking should be banned in all public transport waiting areas (Oppose)" fld="97" baseField="0" baseItem="0"/>
    <dataField name="Sum of Protected from industry (Support)" fld="70" baseField="0" baseItem="0"/>
    <dataField name="Sum of Protected from industry (Oppose)" fld="71" baseField="0" baseItem="0"/>
  </dataFields>
  <formats count="2">
    <format dxfId="212">
      <pivotArea collapsedLevelsAreSubtotals="1" fieldPosition="0">
        <references count="1">
          <reference field="0" count="0"/>
        </references>
      </pivotArea>
    </format>
    <format dxfId="211">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2E1BBE50-53A6-455C-BBE0-727FA4A3A0D6}" autoFormatId="16" applyNumberFormats="0" applyBorderFormats="0" applyFontFormats="0" applyPatternFormats="0" applyAlignmentFormats="0" applyWidthHeightFormats="0">
  <queryTableRefresh nextId="1595" unboundColumnsRight="4">
    <queryTableFields count="108">
      <queryTableField id="60" name="Column1" tableColumnId="60"/>
      <queryTableField id="1482" dataBound="0" tableColumnId="3"/>
      <queryTableField id="1567" dataBound="0" tableColumnId="27"/>
      <queryTableField id="1502" dataBound="0" tableColumnId="8"/>
      <queryTableField id="1501" dataBound="0" tableColumnId="9"/>
      <queryTableField id="1500" dataBound="0" tableColumnId="10"/>
      <queryTableField id="1499" dataBound="0" tableColumnId="11"/>
      <queryTableField id="1498" dataBound="0" tableColumnId="12"/>
      <queryTableField id="1497" dataBound="0" tableColumnId="13"/>
      <queryTableField id="1496" dataBound="0" tableColumnId="14"/>
      <queryTableField id="1495" dataBound="0" tableColumnId="15"/>
      <queryTableField id="1494" dataBound="0" tableColumnId="16"/>
      <queryTableField id="1493" dataBound="0" tableColumnId="17"/>
      <queryTableField id="1492" dataBound="0" tableColumnId="18"/>
      <queryTableField id="1491" dataBound="0" tableColumnId="19"/>
      <queryTableField id="1490" dataBound="0" tableColumnId="20"/>
      <queryTableField id="1571" dataBound="0" tableColumnId="5"/>
      <queryTableField id="1579" dataBound="0" tableColumnId="1"/>
      <queryTableField id="1568" dataBound="0" tableColumnId="37"/>
      <queryTableField id="1530" dataBound="0" tableColumnId="52"/>
      <queryTableField id="1529" dataBound="0" tableColumnId="53"/>
      <queryTableField id="1528" dataBound="0" tableColumnId="54"/>
      <queryTableField id="1527" dataBound="0" tableColumnId="55"/>
      <queryTableField id="1526" dataBound="0" tableColumnId="42"/>
      <queryTableField id="1525" dataBound="0" tableColumnId="43"/>
      <queryTableField id="1524" dataBound="0" tableColumnId="44"/>
      <queryTableField id="1523" dataBound="0" tableColumnId="45"/>
      <queryTableField id="1522" dataBound="0" tableColumnId="46"/>
      <queryTableField id="1521" dataBound="0" tableColumnId="47"/>
      <queryTableField id="1520" dataBound="0" tableColumnId="48"/>
      <queryTableField id="1519" dataBound="0" tableColumnId="35"/>
      <queryTableField id="1518" dataBound="0" tableColumnId="36"/>
      <queryTableField id="1572" dataBound="0" tableColumnId="6"/>
      <queryTableField id="1582" dataBound="0" tableColumnId="61"/>
      <queryTableField id="1569" dataBound="0" tableColumnId="38"/>
      <queryTableField id="1546" dataBound="0" tableColumnId="56"/>
      <queryTableField id="1545" dataBound="0" tableColumnId="57"/>
      <queryTableField id="1544" dataBound="0" tableColumnId="58"/>
      <queryTableField id="1560" dataBound="0" tableColumnId="70"/>
      <queryTableField id="1559" dataBound="0" tableColumnId="71"/>
      <queryTableField id="1558" dataBound="0" tableColumnId="72"/>
      <queryTableField id="1557" dataBound="0" tableColumnId="73"/>
      <queryTableField id="1556" dataBound="0" tableColumnId="74"/>
      <queryTableField id="1555" dataBound="0" tableColumnId="75"/>
      <queryTableField id="1554" dataBound="0" tableColumnId="76"/>
      <queryTableField id="1553" dataBound="0" tableColumnId="77"/>
      <queryTableField id="1552" dataBound="0" tableColumnId="78"/>
      <queryTableField id="1551" dataBound="0" tableColumnId="79"/>
      <queryTableField id="1573" dataBound="0" tableColumnId="7"/>
      <queryTableField id="1580" dataBound="0" tableColumnId="51"/>
      <queryTableField id="1570" dataBound="0" tableColumnId="39"/>
      <queryTableField id="1547" dataBound="0" tableColumnId="83"/>
      <queryTableField id="1514" dataBound="0" tableColumnId="40"/>
      <queryTableField id="1513" dataBound="0" tableColumnId="41"/>
      <queryTableField id="1512" dataBound="0" tableColumnId="28"/>
      <queryTableField id="1511" dataBound="0" tableColumnId="29"/>
      <queryTableField id="1510" dataBound="0" tableColumnId="30"/>
      <queryTableField id="1509" dataBound="0" tableColumnId="31"/>
      <queryTableField id="1508" dataBound="0" tableColumnId="32"/>
      <queryTableField id="1507" dataBound="0" tableColumnId="33"/>
      <queryTableField id="1506" dataBound="0" tableColumnId="34"/>
      <queryTableField id="1489" dataBound="0" tableColumnId="21"/>
      <queryTableField id="1488" dataBound="0" tableColumnId="22"/>
      <queryTableField id="1487" dataBound="0" tableColumnId="23"/>
      <queryTableField id="1574" dataBound="0" tableColumnId="24"/>
      <queryTableField id="1581" dataBound="0" tableColumnId="59"/>
      <queryTableField id="580" name="Column531" tableColumnId="580"/>
      <queryTableField id="1476" dataBound="0" tableColumnId="2"/>
      <queryTableField id="1474" dataBound="0" tableColumnId="4"/>
      <queryTableField id="581" name="Column532" tableColumnId="581"/>
      <queryTableField id="1594" dataBound="0" tableColumnId="25"/>
      <queryTableField id="1593" dataBound="0" tableColumnId="26"/>
      <queryTableField id="602" name="Column553" tableColumnId="602"/>
      <queryTableField id="603" name="Column554" tableColumnId="603"/>
      <queryTableField id="1584" dataBound="0" tableColumnId="62"/>
      <queryTableField id="1583" dataBound="0" tableColumnId="63"/>
      <queryTableField id="1575" dataBound="0" tableColumnId="66"/>
      <queryTableField id="1576" dataBound="0" tableColumnId="67"/>
      <queryTableField id="1588" dataBound="0" tableColumnId="68"/>
      <queryTableField id="1587" dataBound="0" tableColumnId="69"/>
      <queryTableField id="591" name="Column542" tableColumnId="591"/>
      <queryTableField id="592" name="Column543" tableColumnId="592"/>
      <queryTableField id="613" name="Column564" tableColumnId="613"/>
      <queryTableField id="614" name="Column565" tableColumnId="614"/>
      <queryTableField id="624" name="Column575" tableColumnId="624"/>
      <queryTableField id="625" name="Column576" tableColumnId="625"/>
      <queryTableField id="668" name="Column619" tableColumnId="668"/>
      <queryTableField id="669" name="Column620" tableColumnId="669"/>
      <queryTableField id="701" name="Column652" tableColumnId="701"/>
      <queryTableField id="702" name="Column653" tableColumnId="702"/>
      <queryTableField id="712" name="Column663" tableColumnId="712"/>
      <queryTableField id="713" name="Column664" tableColumnId="713"/>
      <queryTableField id="723" name="Column674" tableColumnId="723"/>
      <queryTableField id="724" name="Column675" tableColumnId="724"/>
      <queryTableField id="745" name="Column696" tableColumnId="745"/>
      <queryTableField id="746" name="Column697" tableColumnId="746"/>
      <queryTableField id="778" name="Column729" tableColumnId="767"/>
      <queryTableField id="779" name="Column730" tableColumnId="768"/>
      <queryTableField id="800" name="Column751" tableColumnId="778"/>
      <queryTableField id="801" name="Column752" tableColumnId="779"/>
      <queryTableField id="756" dataBound="0" tableColumnId="789"/>
      <queryTableField id="757" dataBound="0" tableColumnId="790"/>
      <queryTableField id="789" name="Column740" tableColumnId="800"/>
      <queryTableField id="790" name="Column741" tableColumnId="801"/>
      <queryTableField id="1577" dataBound="0" tableColumnId="49"/>
      <queryTableField id="1578" dataBound="0" tableColumnId="50"/>
      <queryTableField id="1591" dataBound="0" tableColumnId="80"/>
      <queryTableField id="1592" dataBound="0" tableColumnId="81"/>
    </queryTableFields>
    <queryTableDeletedFields count="1420">
      <deletedField name="Column3"/>
      <deletedField name="Column4"/>
      <deletedField name="Column5"/>
      <deletedField name="Column6"/>
      <deletedField name="Column7"/>
      <deletedField name="Column8"/>
      <deletedField name="Column9"/>
      <deletedField name="Column10"/>
      <deletedField name="Column11"/>
      <deletedField name="Column12"/>
      <deletedField name="Column13"/>
      <deletedField name="Column14"/>
      <deletedField name="Column15"/>
      <deletedField name="Column16"/>
      <deletedField name="Column17"/>
      <deletedField name="Column18"/>
      <deletedField name="Column19"/>
      <deletedField name="Column29"/>
      <deletedField name="Column30"/>
      <deletedField name="Column31"/>
      <deletedField name="Column32"/>
      <deletedField name="Column33"/>
      <deletedField name="Column34"/>
      <deletedField name="Column35"/>
      <deletedField name="Column36"/>
      <deletedField name="Column37"/>
      <deletedField name="Column38"/>
      <deletedField name="Column39"/>
      <deletedField name="Column40"/>
      <deletedField name="Column41"/>
      <deletedField name="Column42"/>
      <deletedField name="Column43"/>
      <deletedField name="Column44"/>
      <deletedField name="Column45"/>
      <deletedField name="Column46"/>
      <deletedField name="Column47"/>
      <deletedField name="Column48"/>
      <deletedField name="Column49"/>
      <deletedField name="Column50"/>
      <deletedField name="Column51"/>
      <deletedField name="Column52"/>
      <deletedField name="Column53"/>
      <deletedField name="Column54"/>
      <deletedField name="Column55"/>
      <deletedField name="Column56"/>
      <deletedField name="Column57"/>
      <deletedField name="Column58"/>
      <deletedField name="Column59"/>
      <deletedField name="Column2"/>
      <deletedField name="Column3"/>
      <deletedField name="Column4"/>
      <deletedField name="Column5"/>
      <deletedField name="Column6"/>
      <deletedField name="Column9"/>
      <deletedField name="Column10"/>
      <deletedField name="Column11"/>
      <deletedField name="Column12"/>
      <deletedField name="Column13"/>
      <deletedField name="Column14"/>
      <deletedField name="Column15"/>
      <deletedField name="Column16"/>
      <deletedField name="Column17"/>
      <deletedField name="Column18"/>
      <deletedField name="Column19"/>
      <deletedField name="Column20"/>
      <deletedField name="Column21"/>
      <deletedField name="Column22"/>
      <deletedField name="Column23"/>
      <deletedField name="Column24"/>
      <deletedField name="Column25"/>
      <deletedField name="Column26"/>
      <deletedField name="Column27"/>
      <deletedField name="Column28"/>
      <deletedField name="Column29"/>
      <deletedField name="Column30"/>
      <deletedField name="Column31"/>
      <deletedField name="Column32"/>
      <deletedField name="Column33"/>
      <deletedField name="Column34"/>
      <deletedField name="Column35"/>
      <deletedField name="Column36"/>
      <deletedField name="Column37"/>
      <deletedField name="Column38"/>
      <deletedField name="Column39"/>
      <deletedField name="Column40"/>
      <deletedField name="Column41"/>
      <deletedField name="Column42"/>
      <deletedField name="Column43"/>
      <deletedField name="Column44"/>
      <deletedField name="Column45"/>
      <deletedField name="Column46"/>
      <deletedField name="Column47"/>
      <deletedField name="Column48"/>
      <deletedField name="Column49"/>
      <deletedField name="Column50"/>
      <deletedField name="Column51"/>
      <deletedField name="Column52"/>
      <deletedField name="Column53"/>
      <deletedField name="Column54"/>
      <deletedField name="Column55"/>
      <deletedField name="Column56"/>
      <deletedField name="Column57"/>
      <deletedField name="Column58"/>
      <deletedField name="Column59"/>
      <deletedField name="Column60"/>
      <deletedField name="Column61"/>
      <deletedField name="Column62"/>
      <deletedField name="Column63"/>
      <deletedField name="Column64"/>
      <deletedField name="Column65"/>
      <deletedField name="Column66"/>
      <deletedField name="Column67"/>
      <deletedField name="Column68"/>
      <deletedField name="Column69"/>
      <deletedField name="Column70"/>
      <deletedField name="Column71"/>
      <deletedField name="Column72"/>
      <deletedField name="Column73"/>
      <deletedField name="Column74"/>
      <deletedField name="Column75"/>
      <deletedField name="Column76"/>
      <deletedField name="Column77"/>
      <deletedField name="Column78"/>
      <deletedField name="Column79"/>
      <deletedField name="Column80"/>
      <deletedField name="Column81"/>
      <deletedField name="Column82"/>
      <deletedField name="Column83"/>
      <deletedField name="Column84"/>
      <deletedField name="Column85"/>
      <deletedField name="Column86"/>
      <deletedField name="Column87"/>
      <deletedField name="Column88"/>
      <deletedField name="Column89"/>
      <deletedField name="Column90"/>
      <deletedField name="Column91"/>
      <deletedField name="Column92"/>
      <deletedField name="Column93"/>
      <deletedField name="Column94"/>
      <deletedField name="Column95"/>
      <deletedField name="Column96"/>
      <deletedField name="Column97"/>
      <deletedField name="Column98"/>
      <deletedField name="Column99"/>
      <deletedField name="Column100"/>
      <deletedField name="Column101"/>
      <deletedField name="Column102"/>
      <deletedField name="Column103"/>
      <deletedField name="Column104"/>
      <deletedField name="Column105"/>
      <deletedField name="Column106"/>
      <deletedField name="Column107"/>
      <deletedField name="Column108"/>
      <deletedField name="Column109"/>
      <deletedField name="Column110"/>
      <deletedField name="Column111"/>
      <deletedField name="Column112"/>
      <deletedField name="Column113"/>
      <deletedField name="Column114"/>
      <deletedField name="Column115"/>
      <deletedField name="Column116"/>
      <deletedField name="Column117"/>
      <deletedField name="Column118"/>
      <deletedField name="Column119"/>
      <deletedField name="Column120"/>
      <deletedField name="Column121"/>
      <deletedField name="Column122"/>
      <deletedField name="Column123"/>
      <deletedField name="Column124"/>
      <deletedField name="Column125"/>
      <deletedField name="Column126"/>
      <deletedField name="Column127"/>
      <deletedField name="Column128"/>
      <deletedField name="Column129"/>
      <deletedField name="Column130"/>
      <deletedField name="Column131"/>
      <deletedField name="Column132"/>
      <deletedField name="Column133"/>
      <deletedField name="Column134"/>
      <deletedField name="Column135"/>
      <deletedField name="Column136"/>
      <deletedField name="Column137"/>
      <deletedField name="Column138"/>
      <deletedField name="Column139"/>
      <deletedField name="Column140"/>
      <deletedField name="Column141"/>
      <deletedField name="Column142"/>
      <deletedField name="Column143"/>
      <deletedField name="Column144"/>
      <deletedField name="Column145"/>
      <deletedField name="Column146"/>
      <deletedField name="Column147"/>
      <deletedField name="Column148"/>
      <deletedField name="Column149"/>
      <deletedField name="Column150"/>
      <deletedField name="Column151"/>
      <deletedField name="Column152"/>
      <deletedField name="Column153"/>
      <deletedField name="Column154"/>
      <deletedField name="Column155"/>
      <deletedField name="Column156"/>
      <deletedField name="Column157"/>
      <deletedField name="Column158"/>
      <deletedField name="Column159"/>
      <deletedField name="Column160"/>
      <deletedField name="Column161"/>
      <deletedField name="Column162"/>
      <deletedField name="Column163"/>
      <deletedField name="Column164"/>
      <deletedField name="Column165"/>
      <deletedField name="Column166"/>
      <deletedField name="Column167"/>
      <deletedField name="Column168"/>
      <deletedField name="Column169"/>
      <deletedField name="Column170"/>
      <deletedField name="Column171"/>
      <deletedField name="Column172"/>
      <deletedField name="Column173"/>
      <deletedField name="Column174"/>
      <deletedField name="Column175"/>
      <deletedField name="Column176"/>
      <deletedField name="Column177"/>
      <deletedField name="Column178"/>
      <deletedField name="Column179"/>
      <deletedField name="Column180"/>
      <deletedField name="Column181"/>
      <deletedField name="Column182"/>
      <deletedField name="Column183"/>
      <deletedField name="Column184"/>
      <deletedField name="Column185"/>
      <deletedField name="Column186"/>
      <deletedField name="Column187"/>
      <deletedField name="Column188"/>
      <deletedField name="Column189"/>
      <deletedField name="Column190"/>
      <deletedField name="Column191"/>
      <deletedField name="Column192"/>
      <deletedField name="Column193"/>
      <deletedField name="Column194"/>
      <deletedField name="Column195"/>
      <deletedField name="Column196"/>
      <deletedField name="Column197"/>
      <deletedField name="Column198"/>
      <deletedField name="Column199"/>
      <deletedField name="Column200"/>
      <deletedField name="Column201"/>
      <deletedField name="Column202"/>
      <deletedField name="Column203"/>
      <deletedField name="Column204"/>
      <deletedField name="Column205"/>
      <deletedField name="Column206"/>
      <deletedField name="Column207"/>
      <deletedField name="Column208"/>
      <deletedField name="Column209"/>
      <deletedField name="Column210"/>
      <deletedField name="Column211"/>
      <deletedField name="Column212"/>
      <deletedField name="Column213"/>
      <deletedField name="Column214"/>
      <deletedField name="Column215"/>
      <deletedField name="Column216"/>
      <deletedField name="Column217"/>
      <deletedField name="Column218"/>
      <deletedField name="Column219"/>
      <deletedField name="Column220"/>
      <deletedField name="Column221"/>
      <deletedField name="Column222"/>
      <deletedField name="Column223"/>
      <deletedField name="Column224"/>
      <deletedField name="Column225"/>
      <deletedField name="Column226"/>
      <deletedField name="Column227"/>
      <deletedField name="Column228"/>
      <deletedField name="Column229"/>
      <deletedField name="Column230"/>
      <deletedField name="Column231"/>
      <deletedField name="Column232"/>
      <deletedField name="Column233"/>
      <deletedField name="Column234"/>
      <deletedField name="Column235"/>
      <deletedField name="Column236"/>
      <deletedField name="Column237"/>
      <deletedField name="Column238"/>
      <deletedField name="Column239"/>
      <deletedField name="Column240"/>
      <deletedField name="Column241"/>
      <deletedField name="Column242"/>
      <deletedField name="Column243"/>
      <deletedField name="Column244"/>
      <deletedField name="Column245"/>
      <deletedField name="Column246"/>
      <deletedField name="Column247"/>
      <deletedField name="Column248"/>
      <deletedField name="Column249"/>
      <deletedField name="Column250"/>
      <deletedField name="Column251"/>
      <deletedField name="Column252"/>
      <deletedField name="Column253"/>
      <deletedField name="Column254"/>
      <deletedField name="Column255"/>
      <deletedField name="Column256"/>
      <deletedField name="Column257"/>
      <deletedField name="Column258"/>
      <deletedField name="Column259"/>
      <deletedField name="Column260"/>
      <deletedField name="Column261"/>
      <deletedField name="Column262"/>
      <deletedField name="Column263"/>
      <deletedField name="Column264"/>
      <deletedField name="Column265"/>
      <deletedField name="Column266"/>
      <deletedField name="Column267"/>
      <deletedField name="Column268"/>
      <deletedField name="Column269"/>
      <deletedField name="Column270"/>
      <deletedField name="Column271"/>
      <deletedField name="Column272"/>
      <deletedField name="Column273"/>
      <deletedField name="Column274"/>
      <deletedField name="Column275"/>
      <deletedField name="Column276"/>
      <deletedField name="Column277"/>
      <deletedField name="Column278"/>
      <deletedField name="Column279"/>
      <deletedField name="Column280"/>
      <deletedField name="Column281"/>
      <deletedField name="Column282"/>
      <deletedField name="Column283"/>
      <deletedField name="Column284"/>
      <deletedField name="Column285"/>
      <deletedField name="Column286"/>
      <deletedField name="Column287"/>
      <deletedField name="Column288"/>
      <deletedField name="Column289"/>
      <deletedField name="Column290"/>
      <deletedField name="Column291"/>
      <deletedField name="Column292"/>
      <deletedField name="Column293"/>
      <deletedField name="Column294"/>
      <deletedField name="Column295"/>
      <deletedField name="Column296"/>
      <deletedField name="Column297"/>
      <deletedField name="Column298"/>
      <deletedField name="Column299"/>
      <deletedField name="Column300"/>
      <deletedField name="Column301"/>
      <deletedField name="Column302"/>
      <deletedField name="Column303"/>
      <deletedField name="Column304"/>
      <deletedField name="Column305"/>
      <deletedField name="Column306"/>
      <deletedField name="Column307"/>
      <deletedField name="Column308"/>
      <deletedField name="Column309"/>
      <deletedField name="Column310"/>
      <deletedField name="Column311"/>
      <deletedField name="Column312"/>
      <deletedField name="Column313"/>
      <deletedField name="Column314"/>
      <deletedField name="Column315"/>
      <deletedField name="Column316"/>
      <deletedField name="Column317"/>
      <deletedField name="Column318"/>
      <deletedField name="Column319"/>
      <deletedField name="Column320"/>
      <deletedField name="Column321"/>
      <deletedField name="Column322"/>
      <deletedField name="Column323"/>
      <deletedField name="Column324"/>
      <deletedField name="Column325"/>
      <deletedField name="Column326"/>
      <deletedField name="Column327"/>
      <deletedField name="Column328"/>
      <deletedField name="Column329"/>
      <deletedField name="Column330"/>
      <deletedField name="Column331"/>
      <deletedField name="Column332"/>
      <deletedField name="Column333"/>
      <deletedField name="Column334"/>
      <deletedField name="Column335"/>
      <deletedField name="Column336"/>
      <deletedField name="Column337"/>
      <deletedField name="Column338"/>
      <deletedField name="Column339"/>
      <deletedField name="Column340"/>
      <deletedField name="Column341"/>
      <deletedField name="Column342"/>
      <deletedField name="Column343"/>
      <deletedField name="Column344"/>
      <deletedField name="Column345"/>
      <deletedField name="Column346"/>
      <deletedField name="Column347"/>
      <deletedField name="Column348"/>
      <deletedField name="Column349"/>
      <deletedField name="Column350"/>
      <deletedField name="Column351"/>
      <deletedField name="Column352"/>
      <deletedField name="Column353"/>
      <deletedField name="Column354"/>
      <deletedField name="Column355"/>
      <deletedField name="Column356"/>
      <deletedField name="Column357"/>
      <deletedField name="Column358"/>
      <deletedField name="Column359"/>
      <deletedField name="Column360"/>
      <deletedField name="Column361"/>
      <deletedField name="Column362"/>
      <deletedField name="Column363"/>
      <deletedField name="Column364"/>
      <deletedField name="Column365"/>
      <deletedField name="Column366"/>
      <deletedField name="Column367"/>
      <deletedField name="Column368"/>
      <deletedField name="Column369"/>
      <deletedField name="Column370"/>
      <deletedField name="Column371"/>
      <deletedField name="Column372"/>
      <deletedField name="Column373"/>
      <deletedField name="Column374"/>
      <deletedField name="Column375"/>
      <deletedField name="Column376"/>
      <deletedField name="Column377"/>
      <deletedField name="Column378"/>
      <deletedField name="Column379"/>
      <deletedField name="Column380"/>
      <deletedField name="Column381"/>
      <deletedField name="Column382"/>
      <deletedField name="Column383"/>
      <deletedField name="Column384"/>
      <deletedField name="Column385"/>
      <deletedField name="Column386"/>
      <deletedField name="Column387"/>
      <deletedField name="Column388"/>
      <deletedField name="Column389"/>
      <deletedField name="Column390"/>
      <deletedField name="Column391"/>
      <deletedField name="Column392"/>
      <deletedField name="Column393"/>
      <deletedField name="Column394"/>
      <deletedField name="Column395"/>
      <deletedField name="Column396"/>
      <deletedField name="Column397"/>
      <deletedField name="Column398"/>
      <deletedField name="Column399"/>
      <deletedField name="Column400"/>
      <deletedField name="Column401"/>
      <deletedField name="Column402"/>
      <deletedField name="Column403"/>
      <deletedField name="Column404"/>
      <deletedField name="Column405"/>
      <deletedField name="Column406"/>
      <deletedField name="Column407"/>
      <deletedField name="Column408"/>
      <deletedField name="Column409"/>
      <deletedField name="Column410"/>
      <deletedField name="Column411"/>
      <deletedField name="Column412"/>
      <deletedField name="Column413"/>
      <deletedField name="Column414"/>
      <deletedField name="Column415"/>
      <deletedField name="Column416"/>
      <deletedField name="Column417"/>
      <deletedField name="Column418"/>
      <deletedField name="Column419"/>
      <deletedField name="Column420"/>
      <deletedField name="Column421"/>
      <deletedField name="Column422"/>
      <deletedField name="Column423"/>
      <deletedField name="Column424"/>
      <deletedField name="Column425"/>
      <deletedField name="Column426"/>
      <deletedField name="Column427"/>
      <deletedField name="Column428"/>
      <deletedField name="Column429"/>
      <deletedField name="Column430"/>
      <deletedField name="Column431"/>
      <deletedField name="Column432"/>
      <deletedField name="Column433"/>
      <deletedField name="Column434"/>
      <deletedField name="Column435"/>
      <deletedField name="Column436"/>
      <deletedField name="Column437"/>
      <deletedField name="Column438"/>
      <deletedField name="Column439"/>
      <deletedField name="Column440"/>
      <deletedField name="Column441"/>
      <deletedField name="Column442"/>
      <deletedField name="Column443"/>
      <deletedField name="Column444"/>
      <deletedField name="Column445"/>
      <deletedField name="Column446"/>
      <deletedField name="Column447"/>
      <deletedField name="Column448"/>
      <deletedField name="Column449"/>
      <deletedField name="Column450"/>
      <deletedField name="Column451"/>
      <deletedField name="Column452"/>
      <deletedField name="Column453"/>
      <deletedField name="Column454"/>
      <deletedField name="Column455"/>
      <deletedField name="Column456"/>
      <deletedField name="Column457"/>
      <deletedField name="Column458"/>
      <deletedField name="Column459"/>
      <deletedField name="Column460"/>
      <deletedField name="Column461"/>
      <deletedField name="Column462"/>
      <deletedField name="Column463"/>
      <deletedField name="Column464"/>
      <deletedField name="Column465"/>
      <deletedField name="Column466"/>
      <deletedField name="Column467"/>
      <deletedField name="Column468"/>
      <deletedField name="Column469"/>
      <deletedField name="Column470"/>
      <deletedField name="Column471"/>
      <deletedField name="Column472"/>
      <deletedField name="Column473"/>
      <deletedField name="Column474"/>
      <deletedField name="Column475"/>
      <deletedField name="Column476"/>
      <deletedField name="Column477"/>
      <deletedField name="Column478"/>
      <deletedField name="Column479"/>
      <deletedField name="Column480"/>
      <deletedField name="Column481"/>
      <deletedField name="Column482"/>
      <deletedField name="Column483"/>
      <deletedField name="Column484"/>
      <deletedField name="Column485"/>
      <deletedField name="Column486"/>
      <deletedField name="Column487"/>
      <deletedField name="Column488"/>
      <deletedField name="Column489"/>
      <deletedField name="Column490"/>
      <deletedField name="Column491"/>
      <deletedField name="Column492"/>
      <deletedField name="Column493"/>
      <deletedField name="Column494"/>
      <deletedField name="Column495"/>
      <deletedField name="Column496"/>
      <deletedField name="Column497"/>
      <deletedField name="Column498"/>
      <deletedField name="Column499"/>
      <deletedField name="Column500"/>
      <deletedField name="Column501"/>
      <deletedField name="Column753"/>
      <deletedField name="Column754"/>
      <deletedField name="Column755"/>
      <deletedField name="Column756"/>
      <deletedField name="Column757"/>
      <deletedField name="Column758"/>
      <deletedField name="Column759"/>
      <deletedField name="Column760"/>
      <deletedField name="Column761"/>
      <deletedField name="Column762"/>
      <deletedField name="Column763"/>
      <deletedField name="Column764"/>
      <deletedField name="Column765"/>
      <deletedField name="Column766"/>
      <deletedField name="Column767"/>
      <deletedField name="Column768"/>
      <deletedField name="Column769"/>
      <deletedField name="Column770"/>
      <deletedField name="Column771"/>
      <deletedField name="Column772"/>
      <deletedField name="Column773"/>
      <deletedField name="Column774"/>
      <deletedField name="Column775"/>
      <deletedField name="Column776"/>
      <deletedField name="Column777"/>
      <deletedField name="Column778"/>
      <deletedField name="Column779"/>
      <deletedField name="Column780"/>
      <deletedField name="Column781"/>
      <deletedField name="Column782"/>
      <deletedField name="Column783"/>
      <deletedField name="Column784"/>
      <deletedField name="Column785"/>
      <deletedField name="Column786"/>
      <deletedField name="Column787"/>
      <deletedField name="Column788"/>
      <deletedField name="Column789"/>
      <deletedField name="Column790"/>
      <deletedField name="Column791"/>
      <deletedField name="Column792"/>
      <deletedField name="Column793"/>
      <deletedField name="Column794"/>
      <deletedField name="Column795"/>
      <deletedField name="Column796"/>
      <deletedField name="Column797"/>
      <deletedField name="Column798"/>
      <deletedField name="Column799"/>
      <deletedField name="Column800"/>
      <deletedField name="Column801"/>
      <deletedField name="Column802"/>
      <deletedField name="Column803"/>
      <deletedField name="Column804"/>
      <deletedField name="Column805"/>
      <deletedField name="Column806"/>
      <deletedField name="Column807"/>
      <deletedField name="Column808"/>
      <deletedField name="Column809"/>
      <deletedField name="Column810"/>
      <deletedField name="Column811"/>
      <deletedField name="Column812"/>
      <deletedField name="Column813"/>
      <deletedField name="Column814"/>
      <deletedField name="Column815"/>
      <deletedField name="Column816"/>
      <deletedField name="Column817"/>
      <deletedField name="Column818"/>
      <deletedField name="Column819"/>
      <deletedField name="Column820"/>
      <deletedField name="Column821"/>
      <deletedField name="Column822"/>
      <deletedField name="Column823"/>
      <deletedField name="Column824"/>
      <deletedField name="Column825"/>
      <deletedField name="Column826"/>
      <deletedField name="Column827"/>
      <deletedField name="Column828"/>
      <deletedField name="Column829"/>
      <deletedField name="Column830"/>
      <deletedField name="Column831"/>
      <deletedField name="Column832"/>
      <deletedField name="Column833"/>
      <deletedField name="Column834"/>
      <deletedField name="Column835"/>
      <deletedField name="Column836"/>
      <deletedField name="Column837"/>
      <deletedField name="Column838"/>
      <deletedField name="Column839"/>
      <deletedField name="Column840"/>
      <deletedField name="Column841"/>
      <deletedField name="Column842"/>
      <deletedField name="Column843"/>
      <deletedField name="Column844"/>
      <deletedField name="Column845"/>
      <deletedField name="Column846"/>
      <deletedField name="Column847"/>
      <deletedField name="Column848"/>
      <deletedField name="Column849"/>
      <deletedField name="Column850"/>
      <deletedField name="Column851"/>
      <deletedField name="Column852"/>
      <deletedField name="Column853"/>
      <deletedField name="Column854"/>
      <deletedField name="Column855"/>
      <deletedField name="Column856"/>
      <deletedField name="Column857"/>
      <deletedField name="Column858"/>
      <deletedField name="Column859"/>
      <deletedField name="Column860"/>
      <deletedField name="Column861"/>
      <deletedField name="Column862"/>
      <deletedField name="Column863"/>
      <deletedField name="Column864"/>
      <deletedField name="Column865"/>
      <deletedField name="Column866"/>
      <deletedField name="Column867"/>
      <deletedField name="Column868"/>
      <deletedField name="Column869"/>
      <deletedField name="Column870"/>
      <deletedField name="Column871"/>
      <deletedField name="Column872"/>
      <deletedField name="Column873"/>
      <deletedField name="Column874"/>
      <deletedField name="Column875"/>
      <deletedField name="Column876"/>
      <deletedField name="Column877"/>
      <deletedField name="Column878"/>
      <deletedField name="Column879"/>
      <deletedField name="Column880"/>
      <deletedField name="Column881"/>
      <deletedField name="Column882"/>
      <deletedField name="Column883"/>
      <deletedField name="Column884"/>
      <deletedField name="Column885"/>
      <deletedField name="Column886"/>
      <deletedField name="Column887"/>
      <deletedField name="Column888"/>
      <deletedField name="Column889"/>
      <deletedField name="Column890"/>
      <deletedField name="Column891"/>
      <deletedField name="Column892"/>
      <deletedField name="Column893"/>
      <deletedField name="Column894"/>
      <deletedField name="Column895"/>
      <deletedField name="Column896"/>
      <deletedField name="Column897"/>
      <deletedField name="Column898"/>
      <deletedField name="Column899"/>
      <deletedField name="Column900"/>
      <deletedField name="Column901"/>
      <deletedField name="Column902"/>
      <deletedField name="Column903"/>
      <deletedField name="Column904"/>
      <deletedField name="Column905"/>
      <deletedField name="Column906"/>
      <deletedField name="Column907"/>
      <deletedField name="Column908"/>
      <deletedField name="Column909"/>
      <deletedField name="Column910"/>
      <deletedField name="Column911"/>
      <deletedField name="Column912"/>
      <deletedField name="Column913"/>
      <deletedField name="Column914"/>
      <deletedField name="Column915"/>
      <deletedField name="Column916"/>
      <deletedField name="Column917"/>
      <deletedField name="Column918"/>
      <deletedField name="Column919"/>
      <deletedField name="Column920"/>
      <deletedField name="Column921"/>
      <deletedField name="Column922"/>
      <deletedField name="Column923"/>
      <deletedField name="Column924"/>
      <deletedField name="Column925"/>
      <deletedField name="Column926"/>
      <deletedField name="Column927"/>
      <deletedField name="Column928"/>
      <deletedField name="Column929"/>
      <deletedField name="Column930"/>
      <deletedField name="Column931"/>
      <deletedField name="Column932"/>
      <deletedField name="Column933"/>
      <deletedField name="Column934"/>
      <deletedField name="Column935"/>
      <deletedField name="Column936"/>
      <deletedField name="Column937"/>
      <deletedField name="Column938"/>
      <deletedField name="Column939"/>
      <deletedField name="Column940"/>
      <deletedField name="Column941"/>
      <deletedField name="Column942"/>
      <deletedField name="Column943"/>
      <deletedField name="Column944"/>
      <deletedField name="Column945"/>
      <deletedField name="Column946"/>
      <deletedField name="Column947"/>
      <deletedField name="Column948"/>
      <deletedField name="Column949"/>
      <deletedField name="Column950"/>
      <deletedField name="Column951"/>
      <deletedField name="Column952"/>
      <deletedField name="Column953"/>
      <deletedField name="Column954"/>
      <deletedField name="Column955"/>
      <deletedField name="Column956"/>
      <deletedField name="Column957"/>
      <deletedField name="Column958"/>
      <deletedField name="Column959"/>
      <deletedField name="Column960"/>
      <deletedField name="Column961"/>
      <deletedField name="Column962"/>
      <deletedField name="Column963"/>
      <deletedField name="Column964"/>
      <deletedField name="Column965"/>
      <deletedField name="Column966"/>
      <deletedField name="Column967"/>
      <deletedField name="Column968"/>
      <deletedField name="Column969"/>
      <deletedField name="Column970"/>
      <deletedField name="Column971"/>
      <deletedField name="Column972"/>
      <deletedField name="Column973"/>
      <deletedField name="Column974"/>
      <deletedField name="Column975"/>
      <deletedField name="Column976"/>
      <deletedField name="Column977"/>
      <deletedField name="Column978"/>
      <deletedField name="Column979"/>
      <deletedField name="Column980"/>
      <deletedField name="Column981"/>
      <deletedField name="Column982"/>
      <deletedField name="Column983"/>
      <deletedField name="Column984"/>
      <deletedField name="Column985"/>
      <deletedField name="Column986"/>
      <deletedField name="Column987"/>
      <deletedField name="Column988"/>
      <deletedField name="Column989"/>
      <deletedField name="Column990"/>
      <deletedField name="Column991"/>
      <deletedField name="Column992"/>
      <deletedField name="Column993"/>
      <deletedField name="Column994"/>
      <deletedField name="Column995"/>
      <deletedField name="Column996"/>
      <deletedField name="Column997"/>
      <deletedField name="Column998"/>
      <deletedField name="Column999"/>
      <deletedField name="Column1000"/>
      <deletedField name="Column1001"/>
      <deletedField name="Column1002"/>
      <deletedField name="Column1003"/>
      <deletedField name="Column1004"/>
      <deletedField name="Column1005"/>
      <deletedField name="Column1006"/>
      <deletedField name="Column1007"/>
      <deletedField name="Column1008"/>
      <deletedField name="Column1009"/>
      <deletedField name="Column1010"/>
      <deletedField name="Column1011"/>
      <deletedField name="Column1012"/>
      <deletedField name="Column1013"/>
      <deletedField name="Column1014"/>
      <deletedField name="Column1015"/>
      <deletedField name="Column1016"/>
      <deletedField name="Column1017"/>
      <deletedField name="Column1018"/>
      <deletedField name="Column1019"/>
      <deletedField name="Column1020"/>
      <deletedField name="Column1021"/>
      <deletedField name="Column1022"/>
      <deletedField name="Column1023"/>
      <deletedField name="Column1024"/>
      <deletedField name="Column1025"/>
      <deletedField name="Column1026"/>
      <deletedField name="Column1027"/>
      <deletedField name="Column1028"/>
      <deletedField name="Column1029"/>
      <deletedField name="Column1030"/>
      <deletedField name="Column1031"/>
      <deletedField name="Column1032"/>
      <deletedField name="Column1033"/>
      <deletedField name="Column1034"/>
      <deletedField name="Column1035"/>
      <deletedField name="Column1036"/>
      <deletedField name="Column1037"/>
      <deletedField name="Column1038"/>
      <deletedField name="Column1039"/>
      <deletedField name="Column1040"/>
      <deletedField name="Column1041"/>
      <deletedField name="Column1042"/>
      <deletedField name="Column1043"/>
      <deletedField name="Column1044"/>
      <deletedField name="Column1045"/>
      <deletedField name="Column1046"/>
      <deletedField name="Column1047"/>
      <deletedField name="Column1048"/>
      <deletedField name="Column1049"/>
      <deletedField name="Column1050"/>
      <deletedField name="Column1051"/>
      <deletedField name="Column1052"/>
      <deletedField name="Column1053"/>
      <deletedField name="Column1054"/>
      <deletedField name="Column1055"/>
      <deletedField name="Column1056"/>
      <deletedField name="Column1057"/>
      <deletedField name="Column1058"/>
      <deletedField name="Column1059"/>
      <deletedField name="Column1060"/>
      <deletedField name="Column1061"/>
      <deletedField name="Column1062"/>
      <deletedField name="Column1063"/>
      <deletedField name="Column1064"/>
      <deletedField name="Column1065"/>
      <deletedField name="Column1066"/>
      <deletedField name="Column1067"/>
      <deletedField name="Column1068"/>
      <deletedField name="Column1069"/>
      <deletedField name="Column1070"/>
      <deletedField name="Column1071"/>
      <deletedField name="Column1072"/>
      <deletedField name="Column1073"/>
      <deletedField name="Column1074"/>
      <deletedField name="Column1075"/>
      <deletedField name="Column1076"/>
      <deletedField name="Column1077"/>
      <deletedField name="Column1078"/>
      <deletedField name="Column1079"/>
      <deletedField name="Column1080"/>
      <deletedField name="Column1081"/>
      <deletedField name="Column1082"/>
      <deletedField name="Column1083"/>
      <deletedField name="Column1084"/>
      <deletedField name="Column1085"/>
      <deletedField name="Column1086"/>
      <deletedField name="Column1087"/>
      <deletedField name="Column1088"/>
      <deletedField name="Column1089"/>
      <deletedField name="Column1090"/>
      <deletedField name="Column1091"/>
      <deletedField name="Column1092"/>
      <deletedField name="Column1093"/>
      <deletedField name="Column1094"/>
      <deletedField name="Column1095"/>
      <deletedField name="Column1096"/>
      <deletedField name="Column1097"/>
      <deletedField name="Column1098"/>
      <deletedField name="Column1099"/>
      <deletedField name="Column1100"/>
      <deletedField name="Column1101"/>
      <deletedField name="Column1102"/>
      <deletedField name="Column1103"/>
      <deletedField name="Column1104"/>
      <deletedField name="Column1105"/>
      <deletedField name="Column1106"/>
      <deletedField name="Column1107"/>
      <deletedField name="Column1108"/>
      <deletedField name="Column1109"/>
      <deletedField name="Column1110"/>
      <deletedField name="Column1111"/>
      <deletedField name="Column1112"/>
      <deletedField name="Column1113"/>
      <deletedField name="Column1114"/>
      <deletedField name="Column1115"/>
      <deletedField name="Column1116"/>
      <deletedField name="Column1117"/>
      <deletedField name="Column1118"/>
      <deletedField name="Column1119"/>
      <deletedField name="Column1120"/>
      <deletedField name="Column1121"/>
      <deletedField name="Column1122"/>
      <deletedField name="Column1123"/>
      <deletedField name="Column1124"/>
      <deletedField name="Column1125"/>
      <deletedField name="Column1126"/>
      <deletedField name="Column1127"/>
      <deletedField name="Column1128"/>
      <deletedField name="Column1129"/>
      <deletedField name="Column1130"/>
      <deletedField name="Column1131"/>
      <deletedField name="Column1132"/>
      <deletedField name="Column1133"/>
      <deletedField name="Column1134"/>
      <deletedField name="Column1135"/>
      <deletedField name="Column1136"/>
      <deletedField name="Column1137"/>
      <deletedField name="Column1138"/>
      <deletedField name="Column1139"/>
      <deletedField name="Column1140"/>
      <deletedField name="Column1141"/>
      <deletedField name="Column1142"/>
      <deletedField name="Column1143"/>
      <deletedField name="Column1144"/>
      <deletedField name="Column1145"/>
      <deletedField name="Column1146"/>
      <deletedField name="Column1147"/>
      <deletedField name="Column1148"/>
      <deletedField name="Column1149"/>
      <deletedField name="Column1150"/>
      <deletedField name="Column1151"/>
      <deletedField name="Column1152"/>
      <deletedField name="Column1153"/>
      <deletedField name="Column1154"/>
      <deletedField name="Column1155"/>
      <deletedField name="Column1156"/>
      <deletedField name="Column1157"/>
      <deletedField name="Column1158"/>
      <deletedField name="Column1159"/>
      <deletedField name="Column1160"/>
      <deletedField name="Column1161"/>
      <deletedField name="Column1162"/>
      <deletedField name="Column1163"/>
      <deletedField name="Column1164"/>
      <deletedField name="Column1165"/>
      <deletedField name="Column1166"/>
      <deletedField name="Column1167"/>
      <deletedField name="Column1168"/>
      <deletedField name="Column1169"/>
      <deletedField name="Column1170"/>
      <deletedField name="Column1171"/>
      <deletedField name="Column1172"/>
      <deletedField name="Column1173"/>
      <deletedField name="Column1174"/>
      <deletedField name="Column1175"/>
      <deletedField name="Column1176"/>
      <deletedField name="Column1177"/>
      <deletedField name="Column1178"/>
      <deletedField name="Column1179"/>
      <deletedField name="Column1180"/>
      <deletedField name="Column1181"/>
      <deletedField name="Column1182"/>
      <deletedField name="Column1183"/>
      <deletedField name="Column1184"/>
      <deletedField name="Column1185"/>
      <deletedField name="Column1186"/>
      <deletedField name="Column1187"/>
      <deletedField name="Column1188"/>
      <deletedField name="Column1189"/>
      <deletedField name="Column1190"/>
      <deletedField name="Column1191"/>
      <deletedField name="Column1192"/>
      <deletedField name="Column1193"/>
      <deletedField name="Column1194"/>
      <deletedField name="Column1195"/>
      <deletedField name="Column1196"/>
      <deletedField name="Column1197"/>
      <deletedField name="Column1198"/>
      <deletedField name="Column1199"/>
      <deletedField name="Column1200"/>
      <deletedField name="Column1201"/>
      <deletedField name="Column1202"/>
      <deletedField name="Column1203"/>
      <deletedField name="Column1204"/>
      <deletedField name="Column1205"/>
      <deletedField name="Column1206"/>
      <deletedField name="Column1207"/>
      <deletedField name="Column1208"/>
      <deletedField name="Column1209"/>
      <deletedField name="Column1210"/>
      <deletedField name="Column1211"/>
      <deletedField name="Column1212"/>
      <deletedField name="Column1213"/>
      <deletedField name="Column1214"/>
      <deletedField name="Column1215"/>
      <deletedField name="Column1216"/>
      <deletedField name="Column1217"/>
      <deletedField name="Column1218"/>
      <deletedField name="Column1219"/>
      <deletedField name="Column1220"/>
      <deletedField name="Column1221"/>
      <deletedField name="Column1222"/>
      <deletedField name="Column1223"/>
      <deletedField name="Column1224"/>
      <deletedField name="Column1225"/>
      <deletedField name="Column1226"/>
      <deletedField name="Column1227"/>
      <deletedField name="Column1228"/>
      <deletedField name="Column1229"/>
      <deletedField name="Column1230"/>
      <deletedField name="Column1231"/>
      <deletedField name="Column1232"/>
      <deletedField name="Column1233"/>
      <deletedField name="Column1234"/>
      <deletedField name="Column1235"/>
      <deletedField name="Column1236"/>
      <deletedField name="Column1237"/>
      <deletedField name="Column1238"/>
      <deletedField name="Column1239"/>
      <deletedField name="Column1240"/>
      <deletedField name="Column1241"/>
      <deletedField name="Column1242"/>
      <deletedField name="Column1243"/>
      <deletedField name="Column1244"/>
      <deletedField name="Column1245"/>
      <deletedField name="Column1246"/>
      <deletedField name="Column1247"/>
      <deletedField name="Column1248"/>
      <deletedField name="Column1249"/>
      <deletedField name="Column1250"/>
      <deletedField name="Column1251"/>
      <deletedField name="Column1252"/>
      <deletedField name="Column1253"/>
      <deletedField name="Column1254"/>
      <deletedField name="Column1255"/>
      <deletedField name="Column1256"/>
      <deletedField name="Column1257"/>
      <deletedField name="Column1258"/>
      <deletedField name="Column1259"/>
      <deletedField name="Column1260"/>
      <deletedField name="Column1261"/>
      <deletedField name="Column1262"/>
      <deletedField name="Column1263"/>
      <deletedField name="Column1264"/>
      <deletedField name="Column1265"/>
      <deletedField name="Column1266"/>
      <deletedField name="Column1267"/>
      <deletedField name="Column1268"/>
      <deletedField name="Column1269"/>
      <deletedField name="Column1270"/>
      <deletedField name="Column1271"/>
      <deletedField name="Column1272"/>
      <deletedField name="Column1273"/>
      <deletedField name="Column1274"/>
      <deletedField name="Column1275"/>
      <deletedField name="Column1276"/>
      <deletedField name="Column1277"/>
      <deletedField name="Column1278"/>
      <deletedField name="Column1279"/>
      <deletedField name="Column1280"/>
      <deletedField name="Column1281"/>
      <deletedField name="Column1282"/>
      <deletedField name="Column1283"/>
      <deletedField name="Column1284"/>
      <deletedField name="Column1285"/>
      <deletedField name="Column1286"/>
      <deletedField name="Column1287"/>
      <deletedField name="Column1288"/>
      <deletedField name="Column1289"/>
      <deletedField name="Column1290"/>
      <deletedField name="Column1291"/>
      <deletedField name="Column1292"/>
      <deletedField name="Column1293"/>
      <deletedField name="Column1294"/>
      <deletedField name="Column1295"/>
      <deletedField name="Column1296"/>
      <deletedField name="Column1297"/>
      <deletedField name="Column1298"/>
      <deletedField name="Column1299"/>
      <deletedField name="Column1300"/>
      <deletedField name="Column1301"/>
      <deletedField name="Column1302"/>
      <deletedField name="Column1303"/>
      <deletedField name="Column1304"/>
      <deletedField name="Column1305"/>
      <deletedField name="Column1306"/>
      <deletedField name="Column1307"/>
      <deletedField name="Column1308"/>
      <deletedField name="Column1309"/>
      <deletedField name="Column1310"/>
      <deletedField name="Column1311"/>
      <deletedField name="Column1312"/>
      <deletedField name="Column1313"/>
      <deletedField name="Column1314"/>
      <deletedField name="Column1315"/>
      <deletedField name="Column1316"/>
      <deletedField name="Column1317"/>
      <deletedField name="Column1318"/>
      <deletedField name="Column1319"/>
      <deletedField name="Column1320"/>
      <deletedField name="Column1321"/>
      <deletedField name="Column1322"/>
      <deletedField name="Column1323"/>
      <deletedField name="Column1324"/>
      <deletedField name="Column1325"/>
      <deletedField name="Column1326"/>
      <deletedField name="Column1327"/>
      <deletedField name="Column1328"/>
      <deletedField name="Column1329"/>
      <deletedField name="Column1330"/>
      <deletedField name="Column1331"/>
      <deletedField name="Column1332"/>
      <deletedField name="Column1333"/>
      <deletedField name="Column1334"/>
      <deletedField name="Column1335"/>
      <deletedField name="Column1336"/>
      <deletedField name="Column1337"/>
      <deletedField name="Column1338"/>
      <deletedField name="Column1339"/>
      <deletedField name="Column1340"/>
      <deletedField name="Column1341"/>
      <deletedField name="Column1342"/>
      <deletedField name="Column1343"/>
      <deletedField name="Column1344"/>
      <deletedField name="Column1345"/>
      <deletedField name="Column1346"/>
      <deletedField name="Column1347"/>
      <deletedField name="Column1348"/>
      <deletedField name="Column1349"/>
      <deletedField name="Column1350"/>
      <deletedField name="Column1351"/>
      <deletedField name="Column1352"/>
      <deletedField name="Column1353"/>
      <deletedField name="Column1354"/>
      <deletedField name="Column1355"/>
      <deletedField name="Column1356"/>
      <deletedField name="Column1357"/>
      <deletedField name="Column1358"/>
      <deletedField name="Column1359"/>
      <deletedField name="Column1360"/>
      <deletedField name="Column1361"/>
      <deletedField name="Column1362"/>
      <deletedField name="Column1363"/>
      <deletedField name="Column1364"/>
      <deletedField name="Column1365"/>
      <deletedField name="Column1366"/>
      <deletedField name="Column1367"/>
      <deletedField name="Column1368"/>
      <deletedField name="Column1369"/>
      <deletedField name="Column1370"/>
      <deletedField name="Column1371"/>
      <deletedField name="Column1372"/>
      <deletedField name="Column1373"/>
      <deletedField name="Column1374"/>
      <deletedField name="Column1375"/>
      <deletedField name="Column1376"/>
      <deletedField name="Column1377"/>
      <deletedField name="Column1378"/>
      <deletedField name="Column1379"/>
      <deletedField name="Column1380"/>
      <deletedField name="Column1381"/>
      <deletedField name="Column1382"/>
      <deletedField name="Column1383"/>
      <deletedField name="Column1384"/>
      <deletedField name="Column1385"/>
      <deletedField name="Column1386"/>
      <deletedField name="Column1387"/>
      <deletedField name="Column1388"/>
      <deletedField name="Column1389"/>
      <deletedField name="Column1390"/>
      <deletedField name="Column1391"/>
      <deletedField name="Column1392"/>
      <deletedField name="Column1393"/>
      <deletedField name="Column1394"/>
      <deletedField name="Column1395"/>
      <deletedField name="Column1396"/>
      <deletedField name="Column1397"/>
      <deletedField name="Column1398"/>
      <deletedField name="Column1399"/>
      <deletedField name="Column7"/>
      <deletedField name="Column8"/>
      <deletedField name="Column502"/>
      <deletedField name="Column503"/>
      <deletedField name="Column504"/>
      <deletedField name="Column505"/>
      <deletedField name="Column506"/>
      <deletedField name="Column507"/>
      <deletedField name="Column508"/>
      <deletedField name="Column509"/>
      <deletedField name="Column510"/>
      <deletedField name="Column511"/>
      <deletedField name="Column512"/>
      <deletedField name="Column513"/>
      <deletedField name="Column514"/>
      <deletedField name="Column515"/>
      <deletedField name="Column516"/>
      <deletedField name="Column517"/>
      <deletedField name="Column518"/>
      <deletedField name="Column519"/>
      <deletedField name="Column520"/>
      <deletedField name="Column521"/>
      <deletedField name="Column522"/>
      <deletedField name="Column523"/>
      <deletedField name="Column524"/>
      <deletedField name="Column525"/>
      <deletedField name="Column526"/>
      <deletedField name="Column527"/>
      <deletedField name="Column528"/>
      <deletedField name="Column529"/>
      <deletedField name="Column530"/>
      <deletedField name="Column544"/>
      <deletedField name="Column545"/>
      <deletedField name="Column546"/>
      <deletedField name="Column547"/>
      <deletedField name="Column548"/>
      <deletedField name="Column549"/>
      <deletedField name="Column550"/>
      <deletedField name="Column551"/>
      <deletedField name="Column552"/>
      <deletedField name="Column533"/>
      <deletedField name="Column534"/>
      <deletedField name="Column535"/>
      <deletedField name="Column536"/>
      <deletedField name="Column537"/>
      <deletedField name="Column538"/>
      <deletedField name="Column539"/>
      <deletedField name="Column540"/>
      <deletedField name="Column541"/>
      <deletedField name="Column555"/>
      <deletedField name="Column556"/>
      <deletedField name="Column557"/>
      <deletedField name="Column558"/>
      <deletedField name="Column559"/>
      <deletedField name="Column560"/>
      <deletedField name="Column561"/>
      <deletedField name="Column562"/>
      <deletedField name="Column563"/>
      <deletedField name="Column566"/>
      <deletedField name="Column567"/>
      <deletedField name="Column568"/>
      <deletedField name="Column569"/>
      <deletedField name="Column570"/>
      <deletedField name="Column571"/>
      <deletedField name="Column572"/>
      <deletedField name="Column573"/>
      <deletedField name="Column574"/>
      <deletedField name="Column577"/>
      <deletedField name="Column578"/>
      <deletedField name="Column579"/>
      <deletedField name="Column580"/>
      <deletedField name="Column581"/>
      <deletedField name="Column582"/>
      <deletedField name="Column583"/>
      <deletedField name="Column584"/>
      <deletedField name="Column585"/>
      <deletedField name="Column588"/>
      <deletedField name="Column589"/>
      <deletedField name="Column590"/>
      <deletedField name="Column591"/>
      <deletedField name="Column592"/>
      <deletedField name="Column593"/>
      <deletedField name="Column594"/>
      <deletedField name="Column595"/>
      <deletedField name="Column596"/>
      <deletedField name="Column599"/>
      <deletedField name="Column600"/>
      <deletedField name="Column601"/>
      <deletedField name="Column602"/>
      <deletedField name="Column603"/>
      <deletedField name="Column604"/>
      <deletedField name="Column605"/>
      <deletedField name="Column606"/>
      <deletedField name="Column607"/>
      <deletedField name="Column610"/>
      <deletedField name="Column611"/>
      <deletedField name="Column612"/>
      <deletedField name="Column613"/>
      <deletedField name="Column614"/>
      <deletedField name="Column615"/>
      <deletedField name="Column616"/>
      <deletedField name="Column617"/>
      <deletedField name="Column618"/>
      <deletedField name="Column621"/>
      <deletedField name="Column622"/>
      <deletedField name="Column623"/>
      <deletedField name="Column624"/>
      <deletedField name="Column625"/>
      <deletedField name="Column626"/>
      <deletedField name="Column627"/>
      <deletedField name="Column628"/>
      <deletedField name="Column629"/>
      <deletedField name="Column632"/>
      <deletedField name="Column633"/>
      <deletedField name="Column634"/>
      <deletedField name="Column635"/>
      <deletedField name="Column636"/>
      <deletedField name="Column637"/>
      <deletedField name="Column638"/>
      <deletedField name="Column639"/>
      <deletedField name="Column640"/>
      <deletedField name="Column643"/>
      <deletedField name="Column644"/>
      <deletedField name="Column645"/>
      <deletedField name="Column646"/>
      <deletedField name="Column647"/>
      <deletedField name="Column648"/>
      <deletedField name="Column649"/>
      <deletedField name="Column650"/>
      <deletedField name="Column651"/>
      <deletedField name="Column654"/>
      <deletedField name="Column655"/>
      <deletedField name="Column656"/>
      <deletedField name="Column657"/>
      <deletedField name="Column658"/>
      <deletedField name="Column659"/>
      <deletedField name="Column660"/>
      <deletedField name="Column661"/>
      <deletedField name="Column662"/>
      <deletedField name="Column665"/>
      <deletedField name="Column666"/>
      <deletedField name="Column667"/>
      <deletedField name="Column668"/>
      <deletedField name="Column669"/>
      <deletedField name="Column670"/>
      <deletedField name="Column671"/>
      <deletedField name="Column672"/>
      <deletedField name="Column673"/>
      <deletedField name="Column676"/>
      <deletedField name="Column677"/>
      <deletedField name="Column678"/>
      <deletedField name="Column679"/>
      <deletedField name="Column680"/>
      <deletedField name="Column681"/>
      <deletedField name="Column682"/>
      <deletedField name="Column683"/>
      <deletedField name="Column684"/>
      <deletedField name="Column687"/>
      <deletedField name="Column688"/>
      <deletedField name="Column689"/>
      <deletedField name="Column690"/>
      <deletedField name="Column691"/>
      <deletedField name="Column692"/>
      <deletedField name="Column693"/>
      <deletedField name="Column694"/>
      <deletedField name="Column695"/>
      <deletedField name="Column698"/>
      <deletedField name="Column699"/>
      <deletedField name="Column700"/>
      <deletedField name="Column701"/>
      <deletedField name="Column702"/>
      <deletedField name="Column703"/>
      <deletedField name="Column704"/>
      <deletedField name="Column705"/>
      <deletedField name="Column706"/>
      <deletedField name="Column709"/>
      <deletedField name="Column710"/>
      <deletedField name="Column711"/>
      <deletedField name="Column712"/>
      <deletedField name="Column713"/>
      <deletedField name="Column714"/>
      <deletedField name="Column715"/>
      <deletedField name="Column716"/>
      <deletedField name="Column717"/>
      <deletedField name="Column720"/>
      <deletedField name="Column721"/>
      <deletedField name="Column722"/>
      <deletedField name="Column723"/>
      <deletedField name="Column724"/>
      <deletedField name="Column725"/>
      <deletedField name="Column726"/>
      <deletedField name="Column727"/>
      <deletedField name="Column728"/>
      <deletedField name="Column731"/>
      <deletedField name="Column732"/>
      <deletedField name="Column733"/>
      <deletedField name="Column734"/>
      <deletedField name="Column735"/>
      <deletedField name="Column736"/>
      <deletedField name="Column737"/>
      <deletedField name="Column738"/>
      <deletedField name="Column739"/>
      <deletedField name="Column742"/>
      <deletedField name="Column743"/>
      <deletedField name="Column744"/>
      <deletedField name="Column745"/>
      <deletedField name="Column746"/>
      <deletedField name="Column747"/>
      <deletedField name="Column748"/>
      <deletedField name="Column749"/>
      <deletedField name="Column750"/>
      <deletedField name="Column707"/>
      <deletedField name="Column708"/>
      <deletedField name="Column586"/>
      <deletedField name="Column587"/>
      <deletedField name="Column630"/>
      <deletedField name="Column631"/>
      <deletedField name="Column641"/>
      <deletedField name="Column642"/>
      <deletedField name="Column597"/>
      <deletedField name="Column598"/>
      <deletedField name="Column608"/>
      <deletedField name="Column609"/>
      <deletedField name="Column685"/>
      <deletedField name="Column686"/>
      <deletedField name="Column718"/>
      <deletedField name="Column719"/>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013FBA63-D4AF-4AFD-81BA-4489F0932D1D}" sourceName="Region">
  <pivotTables>
    <pivotTable tabId="42" name="PivotTable1"/>
  </pivotTables>
  <data>
    <tabular pivotCacheId="1639666530">
      <items count="11">
        <i x="10" s="1"/>
        <i x="0"/>
        <i x="1"/>
        <i x="2"/>
        <i x="3"/>
        <i x="4"/>
        <i x="5"/>
        <i x="6"/>
        <i x="7"/>
        <i x="8"/>
        <i x="9"/>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 " xr10:uid="{9E5E9AE5-3E2F-4226-BEC4-B0617B12AABF}" cache="Slicer_Region" showCaption="0" style="SlicerStyleLight6" rowHeight="2880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04E7C0-C77C-479E-9484-6BA763D803B0}" name="_T1_2" displayName="_T1_2" ref="A1:DD13" tableType="queryTable" totalsRowCount="1" headerRowDxfId="210">
  <autoFilter ref="A1:DD12" xr:uid="{B004E7C0-C77C-479E-9484-6BA763D803B0}"/>
  <tableColumns count="108">
    <tableColumn id="60" xr3:uid="{988DA55F-733E-444A-ACA2-403D2082A28D}" uniqueName="60" name="Region" queryTableFieldId="60"/>
    <tableColumn id="3" xr3:uid="{B3698AF5-3D0E-4F61-A71A-145D88B146FE}" uniqueName="3" name="Sample size" queryTableFieldId="1482"/>
    <tableColumn id="27" xr3:uid="{C024FF62-1743-4170-B42C-0F3544D39A59}" uniqueName="27" name="TM2009" queryTableFieldId="1567" dataDxfId="209" totalsRowDxfId="208" dataCellStyle="Percent"/>
    <tableColumn id="8" xr3:uid="{D9D32E6D-BD34-4A29-9148-E4207172D300}" uniqueName="8" name="TM2010" queryTableFieldId="1502" dataDxfId="207" totalsRowDxfId="206" dataCellStyle="Percent"/>
    <tableColumn id="9" xr3:uid="{904C8C87-8B8E-4D2A-9F14-C44A084C7B11}" uniqueName="9" name="TM2011" queryTableFieldId="1501" dataDxfId="205" totalsRowDxfId="204" dataCellStyle="Percent"/>
    <tableColumn id="10" xr3:uid="{E3D228FB-140E-43D4-BFAB-CC37EBF95F73}" uniqueName="10" name="TM2012" queryTableFieldId="1500" dataDxfId="203" totalsRowDxfId="202" dataCellStyle="Percent"/>
    <tableColumn id="11" xr3:uid="{D3B95DB8-B31A-40A7-8081-F5B605194070}" uniqueName="11" name="TM2013" queryTableFieldId="1499" dataDxfId="201" totalsRowDxfId="200" dataCellStyle="Percent"/>
    <tableColumn id="12" xr3:uid="{BF20EBB4-F90D-4BF8-9647-1BD24148C594}" uniqueName="12" name="TM2014" queryTableFieldId="1498" dataDxfId="199" totalsRowDxfId="198" dataCellStyle="Percent"/>
    <tableColumn id="13" xr3:uid="{230BEF45-09CC-4F60-B42D-38B8D75C9034}" uniqueName="13" name="TM2015" queryTableFieldId="1497" dataDxfId="197" totalsRowDxfId="196" dataCellStyle="Percent"/>
    <tableColumn id="14" xr3:uid="{FB81B3D4-9905-48A7-85D4-B8EFF7AF6E5D}" uniqueName="14" name="TM2016" queryTableFieldId="1496" dataDxfId="195" totalsRowDxfId="194" dataCellStyle="Percent"/>
    <tableColumn id="15" xr3:uid="{A2D27E9E-66CC-4CD1-A9C4-5033A3AC3D8F}" uniqueName="15" name="TM2017" queryTableFieldId="1495" dataDxfId="193" totalsRowDxfId="192" dataCellStyle="Percent"/>
    <tableColumn id="16" xr3:uid="{CCA8EC86-4E3A-4EA9-ACD4-272934C49A15}" uniqueName="16" name="TM2018" queryTableFieldId="1494" dataDxfId="191" totalsRowDxfId="190" dataCellStyle="Percent"/>
    <tableColumn id="17" xr3:uid="{9881A3AC-4A92-43C3-AF8E-B4C83BD8DBA0}" uniqueName="17" name="TM2019" queryTableFieldId="1493" dataDxfId="189" totalsRowDxfId="188" dataCellStyle="Percent"/>
    <tableColumn id="18" xr3:uid="{4B796D3C-895B-4B21-9837-0CE23D7BE1AE}" uniqueName="18" name="TM2020" queryTableFieldId="1492" dataDxfId="187" totalsRowDxfId="186" dataCellStyle="Percent"/>
    <tableColumn id="19" xr3:uid="{E09F4F33-5534-48E7-B8B3-3EC105400ED1}" uniqueName="19" name="TM2021" queryTableFieldId="1491" dataDxfId="185" totalsRowDxfId="184" dataCellStyle="Percent"/>
    <tableColumn id="20" xr3:uid="{83524728-50AF-40B4-9F23-A7A37B1D9E49}" uniqueName="20" name="TM2022" queryTableFieldId="1490" dataDxfId="183" totalsRowDxfId="182" dataCellStyle="Percent"/>
    <tableColumn id="5" xr3:uid="{8BED37AD-9BB2-4F58-A7A4-3C42548F0365}" uniqueName="5" name="TM2023" queryTableFieldId="1571" dataDxfId="181" totalsRowDxfId="180" dataCellStyle="Percent"/>
    <tableColumn id="1" xr3:uid="{B0BD2093-ED52-4320-BD05-1E64B0AE5D4E}" uniqueName="1" name="TM2024" queryTableFieldId="1579" dataDxfId="179" totalsRowDxfId="178" dataCellStyle="Percent"/>
    <tableColumn id="37" xr3:uid="{2827DC7A-461F-4C97-A21E-6A78EE9287BD}" uniqueName="37" name="AR2009" queryTableFieldId="1568" dataDxfId="177" totalsRowDxfId="176" dataCellStyle="Percent"/>
    <tableColumn id="52" xr3:uid="{167B0BEF-3EB7-4A51-84A8-8AB6B029F686}" uniqueName="52" name="AR2010" queryTableFieldId="1530" dataDxfId="175" totalsRowDxfId="174" dataCellStyle="Percent"/>
    <tableColumn id="53" xr3:uid="{86FC45E2-B9CA-4B39-8459-98635D758BAC}" uniqueName="53" name="AR2011" queryTableFieldId="1529" dataDxfId="173" totalsRowDxfId="172" dataCellStyle="Percent"/>
    <tableColumn id="54" xr3:uid="{1C123A19-6A1A-497F-813F-1D7F28E4DDDC}" uniqueName="54" name="AR2012" queryTableFieldId="1528" dataDxfId="171" totalsRowDxfId="170" dataCellStyle="Percent"/>
    <tableColumn id="55" xr3:uid="{A05D4984-FFA5-4370-B476-B7332A2EAF70}" uniqueName="55" name="AR2013" queryTableFieldId="1527" dataDxfId="169" totalsRowDxfId="168" dataCellStyle="Percent"/>
    <tableColumn id="42" xr3:uid="{B6417E17-42F1-455E-8A8A-69247787395E}" uniqueName="42" name="AR2014" queryTableFieldId="1526" dataDxfId="167" totalsRowDxfId="166" dataCellStyle="Percent"/>
    <tableColumn id="43" xr3:uid="{5292C6CE-684F-4C78-986B-CBB603B835FD}" uniqueName="43" name="AR2015" queryTableFieldId="1525" dataDxfId="165" totalsRowDxfId="164" dataCellStyle="Percent"/>
    <tableColumn id="44" xr3:uid="{1B15F026-EDBB-4951-8616-564EB1F063FC}" uniqueName="44" name="AR2016" queryTableFieldId="1524" dataDxfId="163" totalsRowDxfId="162" dataCellStyle="Percent"/>
    <tableColumn id="45" xr3:uid="{6E2EB49A-63BF-49F6-84BB-A38CFCC79D3A}" uniqueName="45" name="AR2017" queryTableFieldId="1523" dataDxfId="161" totalsRowDxfId="160" dataCellStyle="Percent"/>
    <tableColumn id="46" xr3:uid="{C0011173-3B10-492A-9A9A-583524FEA974}" uniqueName="46" name="AR2018" queryTableFieldId="1522" dataDxfId="159" totalsRowDxfId="158" dataCellStyle="Percent"/>
    <tableColumn id="47" xr3:uid="{6444A680-A9E5-4E43-8242-187C21927A23}" uniqueName="47" name="AR2019" queryTableFieldId="1521" dataDxfId="157" totalsRowDxfId="156" dataCellStyle="Percent"/>
    <tableColumn id="48" xr3:uid="{9672685B-6808-4117-A46E-F61B6C4AE450}" uniqueName="48" name="AR2020" queryTableFieldId="1520" dataDxfId="155" totalsRowDxfId="154" dataCellStyle="Percent"/>
    <tableColumn id="35" xr3:uid="{8B6BF80A-64A7-4EDF-A09B-0475C44A20E5}" uniqueName="35" name="AR2021" queryTableFieldId="1519" dataDxfId="153" totalsRowDxfId="152" dataCellStyle="Percent"/>
    <tableColumn id="36" xr3:uid="{C8B7608E-5D06-493D-9CAD-F7970CEAE876}" uniqueName="36" name="AR2022" queryTableFieldId="1518" dataDxfId="151" totalsRowDxfId="150" dataCellStyle="Percent"/>
    <tableColumn id="6" xr3:uid="{3B25500D-B050-45D3-A340-3ADA1FD23A58}" uniqueName="6" name="AR2023" queryTableFieldId="1572" dataDxfId="149" totalsRowDxfId="148" dataCellStyle="Percent"/>
    <tableColumn id="61" xr3:uid="{B712A9D6-BF2A-49CA-98F1-5A9EADE44D10}" uniqueName="61" name="AR2024" queryTableFieldId="1582" dataDxfId="147" totalsRowDxfId="146" dataCellStyle="Percent"/>
    <tableColumn id="38" xr3:uid="{C7221E7B-274A-4182-949E-7BE0E5D0D5A6}" uniqueName="38" name="NE2009" queryTableFieldId="1569" dataDxfId="145" totalsRowDxfId="144" dataCellStyle="Percent"/>
    <tableColumn id="56" xr3:uid="{C810E7E1-F629-4974-B0B9-EB0F761356F1}" uniqueName="56" name="NE2010" queryTableFieldId="1546" dataDxfId="143" totalsRowDxfId="142" dataCellStyle="Percent"/>
    <tableColumn id="57" xr3:uid="{061BE4C2-0B6B-44FA-921D-AA334C1AE80E}" uniqueName="57" name="NE2011" queryTableFieldId="1545" dataDxfId="141" totalsRowDxfId="140" dataCellStyle="Percent"/>
    <tableColumn id="58" xr3:uid="{C5F9A633-7439-4E44-9B48-A92D74342B1A}" uniqueName="58" name="NE2012" queryTableFieldId="1544" dataDxfId="139" totalsRowDxfId="138" dataCellStyle="Percent"/>
    <tableColumn id="70" xr3:uid="{3EF03975-04E2-46C0-8980-EB652A45D016}" uniqueName="70" name="NE2013" queryTableFieldId="1560" dataDxfId="137" totalsRowDxfId="136" dataCellStyle="Percent"/>
    <tableColumn id="71" xr3:uid="{66958A8C-6E0A-48C1-B80C-47644284D570}" uniqueName="71" name="NE2014" queryTableFieldId="1559" dataDxfId="135" totalsRowDxfId="134" dataCellStyle="Percent"/>
    <tableColumn id="72" xr3:uid="{99C3B655-28C8-4F25-9FD4-9D9DDE683C1F}" uniqueName="72" name="NE2015" queryTableFieldId="1558" dataDxfId="133" totalsRowDxfId="132" dataCellStyle="Percent"/>
    <tableColumn id="73" xr3:uid="{80341E9C-D490-4C4F-B627-E5504E0045CE}" uniqueName="73" name="NE2016" queryTableFieldId="1557" dataDxfId="131" totalsRowDxfId="130" dataCellStyle="Percent"/>
    <tableColumn id="74" xr3:uid="{2D3B58C7-2F28-4663-99DF-95ED98883221}" uniqueName="74" name="NE2017" queryTableFieldId="1556" dataDxfId="129" totalsRowDxfId="128" dataCellStyle="Percent"/>
    <tableColumn id="75" xr3:uid="{F7EAA341-643B-4016-B34F-21A5A3EE8F14}" uniqueName="75" name="NE2018" queryTableFieldId="1555" dataDxfId="127" totalsRowDxfId="126" dataCellStyle="Percent"/>
    <tableColumn id="76" xr3:uid="{E5DE13B6-E4DB-4625-B3C6-8F7FE2C17FB8}" uniqueName="76" name="NE2019" queryTableFieldId="1554" dataDxfId="125" totalsRowDxfId="124" dataCellStyle="Percent"/>
    <tableColumn id="77" xr3:uid="{BA2EC1E3-40C8-4F51-86DE-9504D8293E01}" uniqueName="77" name="NE2020" queryTableFieldId="1553" dataDxfId="123" totalsRowDxfId="122" dataCellStyle="Percent"/>
    <tableColumn id="78" xr3:uid="{D5AB804B-67F5-4F0E-AB3E-F92F123C3A53}" uniqueName="78" name="NE2021" queryTableFieldId="1552" dataDxfId="121" totalsRowDxfId="120" dataCellStyle="Percent"/>
    <tableColumn id="79" xr3:uid="{46689BDE-4774-4822-9F7D-BE454E3A22A9}" uniqueName="79" name="NE2022" queryTableFieldId="1551" dataDxfId="119" totalsRowDxfId="118" dataCellStyle="Percent"/>
    <tableColumn id="7" xr3:uid="{DE08A627-07DE-4050-956D-DE6725BE56EA}" uniqueName="7" name="NE2023" queryTableFieldId="1573" dataDxfId="117" totalsRowDxfId="116" dataCellStyle="Percent"/>
    <tableColumn id="51" xr3:uid="{6E7D4EC1-22A9-470B-9889-E7355B1BABAA}" uniqueName="51" name="NE2024" queryTableFieldId="1580" dataDxfId="115" totalsRowDxfId="114" dataCellStyle="Percent"/>
    <tableColumn id="39" xr3:uid="{A875949A-3A0E-4D5E-9B24-A9E5DD4043D7}" uniqueName="39" name="DK2009" queryTableFieldId="1570" dataDxfId="113" totalsRowDxfId="112" dataCellStyle="Percent"/>
    <tableColumn id="83" xr3:uid="{19D0DD84-B03B-4BC6-AD0D-AF8658D078B1}" uniqueName="83" name="DK2010" queryTableFieldId="1547" dataDxfId="111" totalsRowDxfId="110" dataCellStyle="Percent"/>
    <tableColumn id="40" xr3:uid="{764C9B34-A82C-433D-B5CE-9320117F21B2}" uniqueName="40" name="DK2011" queryTableFieldId="1514" dataDxfId="109" totalsRowDxfId="108" dataCellStyle="Percent"/>
    <tableColumn id="41" xr3:uid="{2C6A1938-B9D6-4EB4-8A5E-B6532654E5A8}" uniqueName="41" name="DK2012" queryTableFieldId="1513" dataDxfId="107" totalsRowDxfId="106" dataCellStyle="Percent"/>
    <tableColumn id="28" xr3:uid="{FCB73938-75D7-40D1-90E4-6E38D7F60AE6}" uniqueName="28" name="DK2013" queryTableFieldId="1512" dataDxfId="105" totalsRowDxfId="104" dataCellStyle="Percent"/>
    <tableColumn id="29" xr3:uid="{1C1AD7FC-672E-47B5-A9C6-6CB529019EC0}" uniqueName="29" name="DK2014" queryTableFieldId="1511" dataDxfId="103" totalsRowDxfId="102" dataCellStyle="Percent"/>
    <tableColumn id="30" xr3:uid="{EE39B95F-1F27-430F-8245-FEFC3B9DD7AC}" uniqueName="30" name="DK2015" queryTableFieldId="1510" dataDxfId="101" totalsRowDxfId="100" dataCellStyle="Percent"/>
    <tableColumn id="31" xr3:uid="{56B6FA50-B84C-4665-8958-479C980B6E8D}" uniqueName="31" name="DK2016" queryTableFieldId="1509" dataDxfId="99" totalsRowDxfId="98" dataCellStyle="Percent"/>
    <tableColumn id="32" xr3:uid="{CF202E87-C1A3-4AF4-A1FE-8CDD34BB7541}" uniqueName="32" name="DK2017" queryTableFieldId="1508" dataDxfId="97" totalsRowDxfId="96" dataCellStyle="Percent"/>
    <tableColumn id="33" xr3:uid="{606FE96B-E725-41D2-B355-F630DB2D2B69}" uniqueName="33" name="DK2018" queryTableFieldId="1507" dataDxfId="95" totalsRowDxfId="94" dataCellStyle="Percent"/>
    <tableColumn id="34" xr3:uid="{4AEC8C1C-6AB6-48B5-A17F-B04EC3D86934}" uniqueName="34" name="DK2019" queryTableFieldId="1506" dataDxfId="93" totalsRowDxfId="92" dataCellStyle="Percent"/>
    <tableColumn id="21" xr3:uid="{BCF4C95D-79A6-4FBE-AEA7-4159FB121D8E}" uniqueName="21" name="DK2020" queryTableFieldId="1489" dataDxfId="91" totalsRowDxfId="90" dataCellStyle="Percent"/>
    <tableColumn id="22" xr3:uid="{18B4DDD7-A306-4E50-8466-1A2CFDA09648}" uniqueName="22" name="DK2021" queryTableFieldId="1488" dataDxfId="89" totalsRowDxfId="88" dataCellStyle="Percent"/>
    <tableColumn id="23" xr3:uid="{2EE20906-B2FB-4AB9-BB5F-B321CED9EAC0}" uniqueName="23" name="DK2022" queryTableFieldId="1487" dataDxfId="87" totalsRowDxfId="86" dataCellStyle="Percent"/>
    <tableColumn id="24" xr3:uid="{A9DA1F8B-EA6A-42DB-9FC7-2E61FD0C904B}" uniqueName="24" name="DK2023" queryTableFieldId="1574" dataDxfId="85" totalsRowDxfId="84" dataCellStyle="Percent"/>
    <tableColumn id="59" xr3:uid="{8C45E62A-3F3E-43A2-9DEB-2D3A88ED2D7E}" uniqueName="59" name="DK2024" queryTableFieldId="1581" dataDxfId="83" totalsRowDxfId="82" dataCellStyle="Percent"/>
    <tableColumn id="580" xr3:uid="{E8634B4C-FFDF-413C-85BD-030C17153C3B}" uniqueName="580" name="Gov't activities to limit smoking (Too much)" queryTableFieldId="580" dataDxfId="81" totalsRowDxfId="80" dataCellStyle="Percent"/>
    <tableColumn id="2" xr3:uid="{BE79FFF4-9273-4115-B5E5-D8F40CEE0CB1}" uniqueName="2" name="Gov't activities to limit smoking (About Right)" queryTableFieldId="1476" dataDxfId="79" totalsRowDxfId="78" dataCellStyle="Percent"/>
    <tableColumn id="4" xr3:uid="{A0B20B39-A1D6-4085-BC28-500448E2CCC5}" uniqueName="4" name="Gov't activities to limit smoking (About Right or Not Enough)" queryTableFieldId="1474" dataDxfId="77" totalsRowDxfId="76" dataCellStyle="Percent"/>
    <tableColumn id="581" xr3:uid="{E8891C84-D3FF-4324-877F-EB46DFA9ED3E}" uniqueName="581" name="Gov't activities to limit smoking (Not enough)" queryTableFieldId="581" dataDxfId="75" totalsRowDxfId="74" dataCellStyle="Percent"/>
    <tableColumn id="25" xr3:uid="{1163009B-C5ED-4D82-A3F2-B8A4997A81AF}" uniqueName="25" name="Protected from industry (Support)" queryTableFieldId="1594" dataDxfId="73" totalsRowDxfId="72" dataCellStyle="Percent"/>
    <tableColumn id="26" xr3:uid="{B98BD628-67F7-42A3-A29B-9024AA2CB209}" uniqueName="26" name="Protected from industry (Oppose)" queryTableFieldId="1593" dataDxfId="71" totalsRowDxfId="70" dataCellStyle="Percent"/>
    <tableColumn id="602" xr3:uid="{890F985C-31A1-4A32-9F50-A5EA4A7E5954}" uniqueName="602" name="Smokefree gen (Support)" queryTableFieldId="602" dataDxfId="69" totalsRowDxfId="68" dataCellStyle="Percent"/>
    <tableColumn id="603" xr3:uid="{DB8AE429-C3F2-4B03-84CB-9AD88D813467}" uniqueName="603" name="Smokefree gen (Oppose)" queryTableFieldId="603" dataDxfId="67" totalsRowDxfId="66" dataCellStyle="Percent"/>
    <tableColumn id="62" xr3:uid="{35AC329E-58CC-4CCE-A418-AC3C304A574E}" uniqueName="62" name="GB noone smokes (Support)" queryTableFieldId="1584" dataDxfId="65" totalsRowDxfId="64" dataCellStyle="Percent"/>
    <tableColumn id="63" xr3:uid="{484B8294-BF2F-451E-8717-07DEA2DFEA42}" uniqueName="63" name="GB noone smokes (Oppose)" queryTableFieldId="1583" dataDxfId="63" totalsRowDxfId="62" dataCellStyle="Percent"/>
    <tableColumn id="66" xr3:uid="{7FED789E-BAC8-469C-B653-4C2C9DD093D9}" uniqueName="66" name="ageup (Support)" queryTableFieldId="1575" dataDxfId="61" totalsRowDxfId="60" dataCellStyle="Percent"/>
    <tableColumn id="67" xr3:uid="{94A9DBA2-F6C6-42E3-AD75-A5E9D4A14DA4}" uniqueName="67" name="ageup (Oppose)" queryTableFieldId="1576" dataDxfId="59" totalsRowDxfId="58" dataCellStyle="Percent"/>
    <tableColumn id="68" xr3:uid="{9B63A595-6818-4837-AC15-867F8F3D75A5}" uniqueName="68" name="Mandatory age verification (Support)" queryTableFieldId="1588" dataDxfId="57" totalsRowDxfId="56" dataCellStyle="Percent"/>
    <tableColumn id="69" xr3:uid="{7273710E-9E70-4A43-874A-60478BE4B988}" uniqueName="69" name="Mandatory age verification (Oppose)" queryTableFieldId="1587" dataDxfId="55" totalsRowDxfId="54" dataCellStyle="Percent"/>
    <tableColumn id="591" xr3:uid="{166CBC8C-110F-42AB-86F8-9DE739B61FA9}" uniqueName="591" name="protecting health policy from influence of tobacco (Support)" queryTableFieldId="591" dataDxfId="53" totalsRowDxfId="52" dataCellStyle="Percent"/>
    <tableColumn id="592" xr3:uid="{77F4D4DD-0989-439C-B1F9-B8CC8DDD0C6D}" uniqueName="592" name="protecting health policy from influence of tobacco (Oppose)" queryTableFieldId="592" dataDxfId="51" totalsRowDxfId="50" dataCellStyle="Percent"/>
    <tableColumn id="613" xr3:uid="{BFB4CC2C-5A61-4EC4-B0F3-9404B56DB167}" uniqueName="613" name="Requiring businesses to have a valid licence to sell tobacco (Support)" queryTableFieldId="613" dataDxfId="49" totalsRowDxfId="48" dataCellStyle="Percent"/>
    <tableColumn id="614" xr3:uid="{7479CC44-2832-4124-9140-36C382B40483}" uniqueName="614" name="Requiring businesses to have a valid licence to sell tobacco (Oppose)" queryTableFieldId="614" dataDxfId="47" totalsRowDxfId="46" dataCellStyle="Percent"/>
    <tableColumn id="624" xr3:uid="{52899E88-D9B7-4C9C-BED6-46CE28D7A978}" uniqueName="624" name=" Requiring tobacco manufacturers to pay a levy to Government (Support)" queryTableFieldId="624" dataDxfId="45" totalsRowDxfId="44" dataCellStyle="Percent"/>
    <tableColumn id="625" xr3:uid="{96906F2A-0C24-4418-9973-7447F649727C}" uniqueName="625" name=" Requiring tobacco manufacturers to pay a levy to Government (Oppose)" queryTableFieldId="625" dataDxfId="43" totalsRowDxfId="42" dataCellStyle="Percent"/>
    <tableColumn id="668" xr3:uid="{22806B8C-5BA3-4682-9AC9-5D2BB753D90C}" uniqueName="668" name="Require cigarette packs to include inserts with Government information about quitting (Support)" queryTableFieldId="668" dataDxfId="41" totalsRowDxfId="40" dataCellStyle="Percent"/>
    <tableColumn id="669" xr3:uid="{AAE87BB4-0904-4652-ABFE-185DD73BE301}" uniqueName="669" name="Require cigarette packs to include inserts with Government information about quitting (Oppose)" queryTableFieldId="669" dataDxfId="39" totalsRowDxfId="38" dataCellStyle="Percent"/>
    <tableColumn id="701" xr3:uid="{01D8E8F4-603B-4437-97DC-5995371000EA}" uniqueName="701" name="  Health warnings printed on cigarette sticks to encourage smokers to quit (Support)" queryTableFieldId="701" dataDxfId="37" totalsRowDxfId="36" dataCellStyle="Percent"/>
    <tableColumn id="702" xr3:uid="{075AB265-E989-4D13-AF17-99F0D2A01C09}" uniqueName="702" name="  Health warnings printed on cigarette sticks to encourage smokers to quit (Support)3" queryTableFieldId="702" dataDxfId="35" totalsRowDxfId="34" dataCellStyle="Percent"/>
    <tableColumn id="712" xr3:uid="{44855A35-D0BC-4FF2-9900-39B4F9A9F9CE}" uniqueName="712" name="Banning names of sweets, cartoons, and bright colours on e-cigarette packaging (Support)" queryTableFieldId="712" dataDxfId="33" totalsRowDxfId="32" dataCellStyle="Percent"/>
    <tableColumn id="713" xr3:uid="{77FB66F9-3778-40D7-86DE-87CA711BD0D7}" uniqueName="713" name="Banning names of sweets, cartoons, and bright colours on e-cigarette packaging (Oppose)" queryTableFieldId="713" dataDxfId="31" totalsRowDxfId="30" dataCellStyle="Percent"/>
    <tableColumn id="723" xr3:uid="{2221C132-37BE-40C2-A7AC-BCC3CC13DC1C}" uniqueName="723" name="financial incentives for pregnant women (Support)" queryTableFieldId="723" dataDxfId="29" totalsRowDxfId="28" dataCellStyle="Percent"/>
    <tableColumn id="724" xr3:uid="{EF700E2D-21CC-4E9B-8F06-9067F8D562A4}" uniqueName="724" name="financial incentives for pregnant women (Oppose)" queryTableFieldId="724" dataDxfId="27" totalsRowDxfId="26" dataCellStyle="Percent"/>
    <tableColumn id="745" xr3:uid="{84F2786C-9EB7-4376-BCBE-A1C93F208670}" uniqueName="745" name="Restaurant pub café smoking ban (Support)" queryTableFieldId="745" dataDxfId="25" totalsRowDxfId="24" dataCellStyle="Percent"/>
    <tableColumn id="746" xr3:uid="{A9C1D6F5-5E88-48C3-85F7-ED75BD67F6D5}" uniqueName="746" name="Restaurant pub café smoking ban (Oppose)" queryTableFieldId="746" dataDxfId="23" totalsRowDxfId="22" dataCellStyle="Percent"/>
    <tableColumn id="767" xr3:uid="{D5E7D258-6FDD-436A-827F-2C8BE553E074}" uniqueName="767" name="Smoking should be banned in all public transport waiting areas (Support)" queryTableFieldId="778" dataDxfId="21" totalsRowDxfId="20" dataCellStyle="Percent"/>
    <tableColumn id="768" xr3:uid="{AB247956-5DAA-445D-A668-940C4CD49AA2}" uniqueName="768" name="Smoking should be banned in all public transport waiting areas (Oppose)" queryTableFieldId="779" dataDxfId="19" totalsRowDxfId="18" dataCellStyle="Percent"/>
    <tableColumn id="778" xr3:uid="{53625854-A320-4943-A37B-C82B43F581A8}" uniqueName="778" name="Smoking should be banned in further education colleges (Support)" queryTableFieldId="800" dataDxfId="17" totalsRowDxfId="16" dataCellStyle="Percent"/>
    <tableColumn id="779" xr3:uid="{314C27FB-06D2-4FDA-867D-2D793CBF30ED}" uniqueName="779" name="Smoking should be banned in further education colleges (Oppose)" queryTableFieldId="801" dataDxfId="15" totalsRowDxfId="14" dataCellStyle="Percent"/>
    <tableColumn id="789" xr3:uid="{2922EDB3-0537-4E61-AE76-140F61C7C4DC}" uniqueName="789" name="Smoking should be banned on university and college campuses (Support)" queryTableFieldId="756" dataDxfId="13" totalsRowDxfId="12" dataCellStyle="Percent"/>
    <tableColumn id="790" xr3:uid="{395EF993-F73A-4FA5-AADB-88F326A41F2E}" uniqueName="790" name="Smoking should be banned on university and college campuses (Oppose)" queryTableFieldId="757" dataDxfId="11" totalsRowDxfId="10" dataCellStyle="Percent"/>
    <tableColumn id="800" xr3:uid="{52FF65D6-64E0-48E2-B009-68E5CF14806F}" uniqueName="800" name="pos advertising ban (Support)" queryTableFieldId="789" dataDxfId="9" totalsRowDxfId="8" dataCellStyle="Percent"/>
    <tableColumn id="801" xr3:uid="{775DC0F4-E871-4CEA-82E4-A9EBB93093CA}" uniqueName="801" name="pos advertising ban (Oppose)" queryTableFieldId="790" dataDxfId="7" totalsRowDxfId="6" dataCellStyle="Percent"/>
    <tableColumn id="49" xr3:uid="{462B4A67-3047-49D9-BCFA-EF05D2DAF9C3}" uniqueName="49" name="declare (Support)" queryTableFieldId="1577" dataDxfId="5" totalsRowDxfId="4" dataCellStyle="Percent"/>
    <tableColumn id="50" xr3:uid="{2641D4E1-FBBD-4AFD-AA08-3CC6CA46B3ED}" uniqueName="50" name="declare (Oppose)" queryTableFieldId="1578" dataDxfId="3" totalsRowDxfId="2" dataCellStyle="Percent"/>
    <tableColumn id="80" xr3:uid="{BC8C5E21-44DE-4F78-B585-D3E851E80B92}" uniqueName="80" name="Ban sale and import of disposables (Support)" queryTableFieldId="1591" dataDxfId="1" dataCellStyle="Percent"/>
    <tableColumn id="81" xr3:uid="{32112671-E5AC-478B-9F22-85B9699C158B}" uniqueName="81" name="Ban sale and import of disposables (Oppose)" queryTableFieldId="1592" dataDxfId="0" dataCellStyle="Percent"/>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none" rtlCol="0" anchor="ctr"/>
      <a:lstStyle>
        <a:defPPr marL="0" indent="0" algn="ctr">
          <a:defRPr sz="1200" b="1" i="0" u="none" strike="noStrike">
            <a:solidFill>
              <a:schemeClr val="bg1"/>
            </a:solidFill>
            <a:latin typeface="Montserrat" panose="00000500000000000000" pitchFamily="2" charset="0"/>
            <a:ea typeface="+mn-ea"/>
            <a:cs typeface="Calibri"/>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sh.org.uk/resources/publications/fact-sheets" TargetMode="External"/><Relationship Id="rId1" Type="http://schemas.openxmlformats.org/officeDocument/2006/relationships/hyperlink" Target="https://www.cochranelibrary.com/cdsr/doi/10.1002/14651858.CD001055.pub4/pdf/full" TargetMode="Externa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0B1F-A767-49D3-BE56-1186886CD38F}">
  <sheetPr codeName="Sheet7"/>
  <dimension ref="B2:Z251"/>
  <sheetViews>
    <sheetView showGridLines="0" tabSelected="1" zoomScaleNormal="100" zoomScaleSheetLayoutView="53" zoomScalePageLayoutView="78" workbookViewId="0"/>
  </sheetViews>
  <sheetFormatPr defaultColWidth="9.109375" defaultRowHeight="14.4" x14ac:dyDescent="0.3"/>
  <cols>
    <col min="1" max="2" width="3.6640625" style="6" customWidth="1"/>
    <col min="3" max="9" width="9.109375" style="6"/>
    <col min="10" max="10" width="6.33203125" style="6" customWidth="1"/>
    <col min="11" max="11" width="9.109375" style="6"/>
    <col min="12" max="12" width="2.33203125" style="6" customWidth="1"/>
    <col min="13" max="16384" width="9.109375" style="6"/>
  </cols>
  <sheetData>
    <row r="2" spans="2:12" ht="24" customHeight="1" x14ac:dyDescent="0.3"/>
    <row r="3" spans="2:12" ht="42" customHeight="1" x14ac:dyDescent="0.3">
      <c r="B3" s="45" t="str">
        <f>'Get Pivot'!H3</f>
        <v>ASH Smokefree Survey 2024 
Public Opinion in Great Britain</v>
      </c>
      <c r="C3" s="45"/>
      <c r="D3" s="45"/>
      <c r="E3" s="45"/>
      <c r="F3" s="45"/>
      <c r="G3" s="45"/>
      <c r="H3" s="45"/>
    </row>
    <row r="6" spans="2:12" ht="16.2" customHeight="1" x14ac:dyDescent="0.3">
      <c r="B6" s="50" t="str">
        <f>_xlfn.CONCAT('Get Pivot'!H4)</f>
        <v>In 2024, Great Britain supported government action to tackle tobacco</v>
      </c>
      <c r="C6" s="50"/>
      <c r="D6" s="50"/>
      <c r="E6" s="50"/>
      <c r="F6" s="50"/>
      <c r="G6" s="50"/>
      <c r="H6" s="50"/>
      <c r="I6" s="50"/>
      <c r="J6" s="50"/>
      <c r="K6" s="50"/>
      <c r="L6" s="50"/>
    </row>
    <row r="7" spans="2:12" ht="14.4" customHeight="1" x14ac:dyDescent="0.3">
      <c r="B7" s="13"/>
      <c r="C7" s="13"/>
      <c r="D7" s="13"/>
      <c r="E7" s="13"/>
      <c r="F7" s="13"/>
      <c r="G7" s="13"/>
      <c r="H7" s="13"/>
      <c r="I7" s="13"/>
      <c r="J7" s="13"/>
      <c r="K7" s="13"/>
      <c r="L7" s="13"/>
    </row>
    <row r="8" spans="2:12" ht="61.8" customHeight="1" x14ac:dyDescent="0.3">
      <c r="C8" s="46" t="str">
        <f>'Get Pivot'!H34</f>
        <v>78% of adults in Great Britain support the principle of creating a smokefree generation with just 7% opposed. Similarly, 73% of adults in Great Britain support a goal to make Britain a country where no one smokes, with only 10% opposed.[1]</v>
      </c>
      <c r="D8" s="46"/>
      <c r="E8" s="46"/>
      <c r="F8" s="46"/>
      <c r="G8" s="46"/>
      <c r="H8" s="46"/>
      <c r="I8" s="46"/>
      <c r="J8" s="46"/>
      <c r="K8" s="46"/>
      <c r="L8" s="46"/>
    </row>
    <row r="9" spans="2:12" ht="7.8" customHeight="1" x14ac:dyDescent="0.3">
      <c r="C9" s="9"/>
      <c r="D9" s="9"/>
      <c r="E9" s="9"/>
      <c r="F9" s="9"/>
      <c r="G9" s="9"/>
      <c r="H9" s="9"/>
      <c r="I9" s="9"/>
      <c r="J9" s="9"/>
      <c r="K9" s="9"/>
      <c r="L9" s="9"/>
    </row>
    <row r="10" spans="2:12" ht="46.95" customHeight="1" x14ac:dyDescent="0.3">
      <c r="C10" s="46" t="str">
        <f>'Get Pivot'!H6</f>
        <v>79% of adults in Great Britain support current government action to limit smoking or think government should do more. Only 9% think the government is doing too much while 50% think the government should do more.</v>
      </c>
      <c r="D10" s="46"/>
      <c r="E10" s="46"/>
      <c r="F10" s="46"/>
      <c r="G10" s="46"/>
      <c r="H10" s="46"/>
      <c r="I10" s="46"/>
      <c r="J10" s="46"/>
      <c r="K10" s="46"/>
      <c r="L10" s="46"/>
    </row>
    <row r="11" spans="2:12" ht="14.4" customHeight="1" x14ac:dyDescent="0.3">
      <c r="C11" s="9"/>
      <c r="D11" s="9"/>
      <c r="E11" s="9"/>
      <c r="F11" s="9"/>
      <c r="G11" s="9"/>
      <c r="H11" s="9"/>
      <c r="I11" s="9"/>
      <c r="J11" s="9"/>
      <c r="K11" s="9"/>
      <c r="L11" s="9"/>
    </row>
    <row r="12" spans="2:12" ht="14.4" customHeight="1" x14ac:dyDescent="0.3">
      <c r="C12" s="52" t="str">
        <f>'Get Pivot'!H7</f>
        <v>Opinions over time in Great Britain about the government's level of activity to limit smoking</v>
      </c>
      <c r="D12" s="52"/>
      <c r="E12" s="52"/>
      <c r="F12" s="52"/>
      <c r="G12" s="52"/>
      <c r="H12" s="52"/>
      <c r="I12" s="52"/>
      <c r="J12" s="52"/>
      <c r="K12" s="52"/>
      <c r="L12" s="9"/>
    </row>
    <row r="13" spans="2:12" ht="14.4" customHeight="1" x14ac:dyDescent="0.3">
      <c r="C13" s="52"/>
      <c r="D13" s="52"/>
      <c r="E13" s="52"/>
      <c r="F13" s="52"/>
      <c r="G13" s="52"/>
      <c r="H13" s="52"/>
      <c r="I13" s="52"/>
      <c r="J13" s="52"/>
      <c r="K13" s="52"/>
      <c r="L13" s="9"/>
    </row>
    <row r="14" spans="2:12" ht="14.4" customHeight="1" x14ac:dyDescent="0.3">
      <c r="C14" s="52"/>
      <c r="D14" s="52"/>
      <c r="E14" s="52"/>
      <c r="F14" s="52"/>
      <c r="G14" s="52"/>
      <c r="H14" s="52"/>
      <c r="I14" s="52"/>
      <c r="J14" s="52"/>
      <c r="K14" s="52"/>
      <c r="L14" s="9"/>
    </row>
    <row r="15" spans="2:12" ht="14.4" customHeight="1" x14ac:dyDescent="0.3"/>
    <row r="16" spans="2:12" ht="14.4" customHeight="1" x14ac:dyDescent="0.3"/>
    <row r="17" ht="14.4" customHeight="1" x14ac:dyDescent="0.3"/>
    <row r="18" ht="14.4" customHeight="1" x14ac:dyDescent="0.3"/>
    <row r="19" ht="14.4" customHeight="1" x14ac:dyDescent="0.3"/>
    <row r="20" ht="14.4" customHeight="1" x14ac:dyDescent="0.3"/>
    <row r="21" ht="14.4" customHeight="1" x14ac:dyDescent="0.3"/>
    <row r="22" ht="14.4" customHeight="1" x14ac:dyDescent="0.3"/>
    <row r="23" ht="14.4" customHeight="1" x14ac:dyDescent="0.3"/>
    <row r="24" ht="14.4" customHeight="1" x14ac:dyDescent="0.3"/>
    <row r="25" ht="14.4" customHeight="1" x14ac:dyDescent="0.3"/>
    <row r="26" ht="14.4" customHeight="1" x14ac:dyDescent="0.3"/>
    <row r="27" ht="14.4" customHeight="1" x14ac:dyDescent="0.3"/>
    <row r="28" ht="14.4" customHeight="1" x14ac:dyDescent="0.3"/>
    <row r="29" ht="14.4" customHeight="1" x14ac:dyDescent="0.3"/>
    <row r="30" ht="14.4" customHeight="1" x14ac:dyDescent="0.3"/>
    <row r="31" ht="14.4" customHeight="1" x14ac:dyDescent="0.3"/>
    <row r="32" ht="14.4" customHeight="1" x14ac:dyDescent="0.3"/>
    <row r="33" spans="2:12" ht="14.4" customHeight="1" x14ac:dyDescent="0.3"/>
    <row r="34" spans="2:12" ht="14.4" customHeight="1" x14ac:dyDescent="0.3">
      <c r="C34" s="38" t="str">
        <f>IF('Get Pivot'!B1 = "Great Britain", 'Get Pivot'!A4, "")</f>
        <v>Results from 2009 to 2012 are for Scotland and England only; 2013 onwards shows all GB</v>
      </c>
    </row>
    <row r="35" spans="2:12" ht="14.4" customHeight="1" x14ac:dyDescent="0.3">
      <c r="C35" s="38"/>
    </row>
    <row r="36" spans="2:12" ht="21" x14ac:dyDescent="0.4">
      <c r="B36" s="44" t="s">
        <v>262</v>
      </c>
    </row>
    <row r="37" spans="2:12" ht="14.4" customHeight="1" x14ac:dyDescent="0.4">
      <c r="B37" s="44"/>
    </row>
    <row r="38" spans="2:12" ht="14.4" customHeight="1" x14ac:dyDescent="0.3">
      <c r="B38" s="14" t="s">
        <v>209</v>
      </c>
      <c r="C38" s="14"/>
      <c r="D38" s="14"/>
      <c r="E38" s="14"/>
      <c r="F38" s="14"/>
      <c r="G38" s="10"/>
    </row>
    <row r="39" spans="2:12" ht="14.4" customHeight="1" x14ac:dyDescent="0.3"/>
    <row r="40" spans="2:12" ht="14.4" customHeight="1" x14ac:dyDescent="0.3"/>
    <row r="41" spans="2:12" ht="14.4" customHeight="1" x14ac:dyDescent="0.3"/>
    <row r="42" spans="2:12" ht="14.4" customHeight="1" x14ac:dyDescent="0.3"/>
    <row r="47" spans="2:12" x14ac:dyDescent="0.3">
      <c r="C47" s="7"/>
      <c r="D47" s="7"/>
      <c r="E47" s="7"/>
      <c r="F47" s="7"/>
      <c r="G47" s="7"/>
      <c r="H47" s="7"/>
      <c r="I47" s="7"/>
      <c r="J47" s="7"/>
      <c r="K47" s="7"/>
      <c r="L47" s="7"/>
    </row>
    <row r="48" spans="2:12" ht="14.4" customHeight="1" x14ac:dyDescent="0.3">
      <c r="C48" s="12"/>
      <c r="D48" s="12"/>
      <c r="E48" s="12"/>
      <c r="F48" s="12"/>
      <c r="G48" s="12"/>
      <c r="H48" s="12"/>
      <c r="I48" s="12"/>
      <c r="J48" s="12"/>
      <c r="K48" s="12"/>
      <c r="L48" s="12"/>
    </row>
    <row r="49" spans="2:26" ht="64.8" customHeight="1" x14ac:dyDescent="0.3">
      <c r="B49" s="12"/>
      <c r="C49" s="49" t="str">
        <f>'Get Pivot'!H37</f>
        <v>69% of adults in Great Britain support increasing the age of sale for tobacco for those born in 2009 or later by one year, every year with 12% opposed. In the King’s Speech, the Labour Government committed to reintroducing the Tobacco and Vapes which would implement this policy.</v>
      </c>
      <c r="D49" s="49"/>
      <c r="E49" s="49"/>
      <c r="F49" s="49"/>
      <c r="G49" s="49"/>
      <c r="H49" s="49"/>
      <c r="I49" s="49"/>
      <c r="J49" s="49"/>
      <c r="K49" s="49"/>
      <c r="L49" s="49"/>
      <c r="P49" s="12"/>
      <c r="Q49" s="9"/>
      <c r="R49" s="9"/>
      <c r="S49" s="9"/>
      <c r="T49" s="9"/>
      <c r="U49" s="9"/>
      <c r="V49" s="9"/>
      <c r="W49" s="9"/>
      <c r="X49" s="9"/>
      <c r="Y49" s="9"/>
      <c r="Z49" s="9"/>
    </row>
    <row r="50" spans="2:26" ht="14.4" customHeight="1" x14ac:dyDescent="0.3">
      <c r="C50" s="9"/>
      <c r="D50" s="9"/>
      <c r="E50" s="9"/>
      <c r="F50" s="9"/>
      <c r="G50" s="9"/>
      <c r="H50" s="9"/>
      <c r="I50" s="9"/>
      <c r="J50" s="9"/>
      <c r="K50" s="9"/>
      <c r="L50" s="9"/>
    </row>
    <row r="52" spans="2:26" ht="15.6" x14ac:dyDescent="0.3">
      <c r="B52" s="14" t="s">
        <v>250</v>
      </c>
      <c r="C52" s="14"/>
      <c r="D52" s="14"/>
      <c r="E52" s="14"/>
      <c r="F52" s="14"/>
      <c r="G52" s="10"/>
    </row>
    <row r="53" spans="2:26" ht="14.4" customHeight="1" x14ac:dyDescent="0.3"/>
    <row r="60" spans="2:26" ht="18.75" customHeight="1" x14ac:dyDescent="0.3"/>
    <row r="61" spans="2:26" ht="14.4" customHeight="1" x14ac:dyDescent="0.3">
      <c r="C61" s="7"/>
      <c r="D61" s="7"/>
      <c r="E61" s="7"/>
      <c r="F61" s="7"/>
      <c r="G61" s="7"/>
      <c r="H61" s="7"/>
      <c r="I61" s="7"/>
      <c r="J61" s="7"/>
      <c r="K61" s="7"/>
      <c r="L61" s="7"/>
    </row>
    <row r="62" spans="2:26" ht="81" customHeight="1" x14ac:dyDescent="0.3">
      <c r="B62" s="12"/>
      <c r="C62" s="46" t="str">
        <f>'Get Pivot'!H38</f>
        <v>If the legislation to raise the age of sale one year, every year is passed, every year there will be an increasing number of people over 18 who are not legally allowed to be sold cigarettes. In this case, 72% of adults in support making it a legal requirement for retailers to check the ID of all people trying to purchase tobacco products to determine whether they are over the age limit, with 11% opposed.</v>
      </c>
      <c r="D62" s="46"/>
      <c r="E62" s="46"/>
      <c r="F62" s="46"/>
      <c r="G62" s="46"/>
      <c r="H62" s="46"/>
      <c r="I62" s="46"/>
      <c r="J62" s="46"/>
      <c r="K62" s="46"/>
      <c r="L62" s="46"/>
    </row>
    <row r="63" spans="2:26" ht="14.4" customHeight="1" x14ac:dyDescent="0.3">
      <c r="B63" s="12"/>
      <c r="C63" s="9"/>
      <c r="D63" s="9"/>
      <c r="E63" s="9"/>
      <c r="F63" s="9"/>
      <c r="G63" s="9"/>
      <c r="H63" s="9"/>
      <c r="I63" s="9"/>
      <c r="J63" s="9"/>
      <c r="K63" s="9"/>
      <c r="L63" s="9"/>
    </row>
    <row r="64" spans="2:26" ht="14.4" customHeight="1" x14ac:dyDescent="0.3">
      <c r="B64" s="12"/>
      <c r="C64" s="9"/>
      <c r="D64" s="9"/>
      <c r="E64" s="9"/>
      <c r="F64" s="9"/>
      <c r="G64" s="9"/>
      <c r="H64" s="9"/>
      <c r="I64" s="9"/>
      <c r="J64" s="9"/>
      <c r="K64" s="9"/>
      <c r="L64" s="9"/>
    </row>
    <row r="65" spans="2:14" ht="21" x14ac:dyDescent="0.4">
      <c r="B65" s="44" t="s">
        <v>263</v>
      </c>
    </row>
    <row r="66" spans="2:14" ht="14.4" customHeight="1" x14ac:dyDescent="0.4">
      <c r="B66" s="44"/>
    </row>
    <row r="67" spans="2:14" ht="15" customHeight="1" x14ac:dyDescent="0.3">
      <c r="B67" s="14" t="s">
        <v>23</v>
      </c>
      <c r="C67" s="14"/>
      <c r="D67" s="14"/>
      <c r="E67" s="14"/>
      <c r="F67" s="14"/>
      <c r="N67" s="14"/>
    </row>
    <row r="70" spans="2:14" ht="14.4" customHeight="1" x14ac:dyDescent="0.3"/>
    <row r="77" spans="2:14" ht="18.75" customHeight="1" x14ac:dyDescent="0.3"/>
    <row r="78" spans="2:14" ht="49.2" customHeight="1" x14ac:dyDescent="0.3">
      <c r="C78" s="46" t="str">
        <f>'Get Pivot'!H42</f>
        <v>86% of adults in Great Britain support the introduction of a licence to sell tobacco which can be removed if retailers are caught more than once selling to underage smokers, with 4% opposed.</v>
      </c>
      <c r="D78" s="46"/>
      <c r="E78" s="46"/>
      <c r="F78" s="46"/>
      <c r="G78" s="46"/>
      <c r="H78" s="46"/>
      <c r="I78" s="46"/>
      <c r="J78" s="46"/>
      <c r="K78" s="46"/>
      <c r="L78" s="46"/>
    </row>
    <row r="79" spans="2:14" ht="14.4" customHeight="1" x14ac:dyDescent="0.3">
      <c r="B79" s="12"/>
      <c r="C79" s="9"/>
      <c r="D79" s="9"/>
      <c r="E79" s="9"/>
      <c r="F79" s="9"/>
      <c r="G79" s="9"/>
      <c r="H79" s="9"/>
      <c r="I79" s="9"/>
      <c r="J79" s="9"/>
      <c r="K79" s="9"/>
      <c r="L79" s="9"/>
    </row>
    <row r="80" spans="2:14" ht="14.4" customHeight="1" x14ac:dyDescent="0.3">
      <c r="B80" s="14" t="s">
        <v>258</v>
      </c>
      <c r="C80" s="14"/>
      <c r="D80" s="14"/>
      <c r="E80" s="14"/>
      <c r="F80" s="14"/>
    </row>
    <row r="83" spans="2:12" ht="14.4" customHeight="1" x14ac:dyDescent="0.3"/>
    <row r="88" spans="2:12" ht="14.4" customHeight="1" x14ac:dyDescent="0.3">
      <c r="C88" s="51"/>
      <c r="D88" s="51"/>
      <c r="E88" s="51"/>
      <c r="F88" s="51"/>
      <c r="G88" s="51"/>
      <c r="H88" s="51"/>
      <c r="I88" s="51"/>
      <c r="J88" s="51"/>
      <c r="K88" s="51"/>
      <c r="L88" s="51"/>
    </row>
    <row r="89" spans="2:12" ht="15" customHeight="1" x14ac:dyDescent="0.3"/>
    <row r="90" spans="2:12" ht="15" customHeight="1" x14ac:dyDescent="0.3"/>
    <row r="91" spans="2:12" ht="49.8" customHeight="1" x14ac:dyDescent="0.3">
      <c r="C91" s="46" t="str">
        <f>'Get Pivot'!H41</f>
        <v>79% of adults in Great Britain support tobacco manufacturers being required to pay a levy to government for measures to help smokers quit and prevent young people from taking up smoking, with  5% opposed.</v>
      </c>
      <c r="D91" s="46"/>
      <c r="E91" s="46"/>
      <c r="F91" s="46"/>
      <c r="G91" s="46"/>
      <c r="H91" s="46"/>
      <c r="I91" s="46"/>
      <c r="J91" s="46"/>
      <c r="K91" s="46"/>
      <c r="L91" s="46"/>
    </row>
    <row r="92" spans="2:12" ht="14.4" customHeight="1" x14ac:dyDescent="0.3">
      <c r="C92" s="11"/>
      <c r="D92" s="11"/>
      <c r="E92" s="11"/>
      <c r="F92" s="11"/>
      <c r="G92" s="11"/>
      <c r="H92" s="11"/>
      <c r="I92" s="11"/>
      <c r="J92" s="11"/>
      <c r="K92" s="11"/>
      <c r="L92" s="11"/>
    </row>
    <row r="93" spans="2:12" ht="14.4" customHeight="1" x14ac:dyDescent="0.3">
      <c r="C93" s="11"/>
      <c r="D93" s="11"/>
      <c r="E93" s="11"/>
      <c r="F93" s="11"/>
      <c r="G93" s="11"/>
      <c r="H93" s="11"/>
      <c r="I93" s="11"/>
      <c r="J93" s="11"/>
      <c r="K93" s="11"/>
      <c r="L93" s="11"/>
    </row>
    <row r="94" spans="2:12" ht="15.6" x14ac:dyDescent="0.3">
      <c r="B94" s="14" t="s">
        <v>19</v>
      </c>
      <c r="C94" s="14"/>
      <c r="D94" s="14"/>
      <c r="E94" s="14"/>
      <c r="F94" s="14"/>
    </row>
    <row r="104" spans="2:12" ht="15" customHeight="1" x14ac:dyDescent="0.3"/>
    <row r="105" spans="2:12" ht="65.400000000000006" customHeight="1" x14ac:dyDescent="0.3">
      <c r="C105" s="46" t="str">
        <f>'Get Pivot'!H43</f>
        <v>71% of adults in Great Britain support requiring cigarette packs to include inserts with government mandated information about quitting, with 7% opposed. UK research shows use of such inserts is supported by smokers diverse in age, gender, and social grade.</v>
      </c>
      <c r="D105" s="46"/>
      <c r="E105" s="46"/>
      <c r="F105" s="46"/>
      <c r="G105" s="46"/>
      <c r="H105" s="46"/>
      <c r="I105" s="46"/>
      <c r="J105" s="46"/>
      <c r="K105" s="46"/>
      <c r="L105" s="46"/>
    </row>
    <row r="106" spans="2:12" ht="14.4" customHeight="1" x14ac:dyDescent="0.3">
      <c r="C106" s="11"/>
      <c r="D106" s="11"/>
      <c r="E106" s="11"/>
      <c r="F106" s="11"/>
      <c r="G106" s="11"/>
      <c r="H106" s="11"/>
      <c r="I106" s="11"/>
      <c r="J106" s="11"/>
      <c r="K106" s="11"/>
      <c r="L106" s="11"/>
    </row>
    <row r="107" spans="2:12" ht="14.4" customHeight="1" x14ac:dyDescent="0.3">
      <c r="C107" s="11"/>
      <c r="D107" s="11"/>
      <c r="E107" s="11"/>
      <c r="F107" s="11"/>
      <c r="G107" s="11"/>
      <c r="H107" s="11"/>
      <c r="I107" s="11"/>
      <c r="J107" s="11"/>
      <c r="K107" s="11"/>
      <c r="L107" s="11"/>
    </row>
    <row r="108" spans="2:12" ht="14.4" customHeight="1" x14ac:dyDescent="0.3">
      <c r="B108" s="14" t="s">
        <v>24</v>
      </c>
      <c r="D108" s="14"/>
      <c r="E108" s="14"/>
      <c r="F108" s="14"/>
      <c r="G108" s="14"/>
    </row>
    <row r="120" spans="2:12" ht="35.4" customHeight="1" x14ac:dyDescent="0.3">
      <c r="C120" s="46" t="str">
        <f>'Get Pivot'!H44</f>
        <v>70% of adults in Great Britain support health warnings being printed on cigarette sticks to encourage smokers to quit, with 8% opposed.</v>
      </c>
      <c r="D120" s="46"/>
      <c r="E120" s="46"/>
      <c r="F120" s="46"/>
      <c r="G120" s="46"/>
      <c r="H120" s="46"/>
      <c r="I120" s="46"/>
      <c r="J120" s="46"/>
      <c r="K120" s="46"/>
      <c r="L120" s="46"/>
    </row>
    <row r="121" spans="2:12" ht="14.4" customHeight="1" x14ac:dyDescent="0.3">
      <c r="C121" s="9"/>
      <c r="D121" s="9"/>
      <c r="E121" s="9"/>
      <c r="F121" s="9"/>
      <c r="G121" s="9"/>
      <c r="H121" s="9"/>
      <c r="I121" s="9"/>
      <c r="J121" s="9"/>
      <c r="K121" s="9"/>
      <c r="L121" s="9"/>
    </row>
    <row r="122" spans="2:12" ht="21" x14ac:dyDescent="0.4">
      <c r="B122" s="44" t="s">
        <v>281</v>
      </c>
      <c r="C122" s="9"/>
      <c r="D122" s="9"/>
      <c r="E122" s="9"/>
      <c r="F122" s="9"/>
      <c r="G122" s="9"/>
      <c r="H122" s="9"/>
      <c r="I122" s="9"/>
      <c r="J122" s="9"/>
      <c r="K122" s="9"/>
      <c r="L122" s="9"/>
    </row>
    <row r="123" spans="2:12" ht="14.4" customHeight="1" x14ac:dyDescent="0.3">
      <c r="C123" s="9"/>
      <c r="D123" s="9"/>
      <c r="E123" s="9"/>
      <c r="F123" s="9"/>
      <c r="G123" s="9"/>
      <c r="H123" s="9"/>
      <c r="I123" s="9"/>
      <c r="J123" s="9"/>
      <c r="K123" s="9"/>
      <c r="L123" s="9"/>
    </row>
    <row r="124" spans="2:12" ht="14.4" customHeight="1" x14ac:dyDescent="0.3">
      <c r="B124" s="14" t="s">
        <v>221</v>
      </c>
      <c r="C124" s="11"/>
      <c r="D124" s="11"/>
      <c r="E124" s="11"/>
      <c r="F124" s="11"/>
      <c r="G124" s="11"/>
      <c r="H124" s="11"/>
      <c r="I124" s="11"/>
      <c r="J124" s="11"/>
      <c r="K124" s="11"/>
      <c r="L124" s="11"/>
    </row>
    <row r="125" spans="2:12" ht="14.4" customHeight="1" x14ac:dyDescent="0.3">
      <c r="C125" s="11"/>
      <c r="D125" s="11"/>
      <c r="E125" s="11"/>
      <c r="F125" s="11"/>
      <c r="G125" s="11"/>
      <c r="H125" s="11"/>
      <c r="I125" s="11"/>
      <c r="J125" s="11"/>
      <c r="K125" s="11"/>
      <c r="L125" s="11"/>
    </row>
    <row r="126" spans="2:12" ht="14.4" customHeight="1" x14ac:dyDescent="0.3">
      <c r="C126" s="11"/>
      <c r="D126" s="11"/>
      <c r="E126" s="11"/>
      <c r="F126" s="11"/>
      <c r="G126" s="11"/>
      <c r="H126" s="11"/>
      <c r="I126" s="11"/>
      <c r="J126" s="11"/>
      <c r="K126" s="11"/>
      <c r="L126" s="11"/>
    </row>
    <row r="127" spans="2:12" ht="14.4" customHeight="1" x14ac:dyDescent="0.3">
      <c r="C127" s="11"/>
      <c r="D127" s="11"/>
      <c r="E127" s="11"/>
      <c r="F127" s="11"/>
      <c r="G127" s="11"/>
      <c r="H127" s="11"/>
      <c r="I127" s="11"/>
      <c r="J127" s="11"/>
      <c r="K127" s="11"/>
      <c r="L127" s="11"/>
    </row>
    <row r="128" spans="2:12" ht="14.4" customHeight="1" x14ac:dyDescent="0.3">
      <c r="C128" s="11"/>
      <c r="D128" s="11"/>
      <c r="E128" s="11"/>
      <c r="F128" s="11"/>
      <c r="G128" s="11"/>
      <c r="H128" s="11"/>
      <c r="I128" s="11"/>
      <c r="J128" s="11"/>
      <c r="K128" s="11"/>
      <c r="L128" s="11"/>
    </row>
    <row r="129" spans="2:12" ht="14.4" customHeight="1" x14ac:dyDescent="0.3">
      <c r="C129" s="11"/>
      <c r="D129" s="11"/>
      <c r="E129" s="11"/>
      <c r="F129" s="11"/>
      <c r="G129" s="11"/>
      <c r="H129" s="11"/>
      <c r="I129" s="11"/>
      <c r="J129" s="11"/>
      <c r="K129" s="11"/>
      <c r="L129" s="11"/>
    </row>
    <row r="130" spans="2:12" ht="14.4" customHeight="1" x14ac:dyDescent="0.3">
      <c r="C130" s="11"/>
      <c r="D130" s="11"/>
      <c r="E130" s="11"/>
      <c r="F130" s="11"/>
      <c r="G130" s="11"/>
      <c r="H130" s="11"/>
      <c r="I130" s="11"/>
      <c r="J130" s="11"/>
      <c r="K130" s="11"/>
      <c r="L130" s="11"/>
    </row>
    <row r="131" spans="2:12" ht="14.4" customHeight="1" x14ac:dyDescent="0.3">
      <c r="C131" s="11"/>
      <c r="D131" s="11"/>
      <c r="E131" s="11"/>
      <c r="F131" s="11"/>
      <c r="G131" s="11"/>
      <c r="H131" s="11"/>
      <c r="I131" s="11"/>
      <c r="J131" s="11"/>
      <c r="K131" s="11"/>
      <c r="L131" s="11"/>
    </row>
    <row r="132" spans="2:12" ht="14.4" customHeight="1" x14ac:dyDescent="0.3">
      <c r="C132" s="11"/>
      <c r="D132" s="11"/>
      <c r="E132" s="11"/>
      <c r="F132" s="11"/>
      <c r="G132" s="11"/>
      <c r="H132" s="11"/>
      <c r="I132" s="11"/>
      <c r="J132" s="11"/>
      <c r="K132" s="11"/>
      <c r="L132" s="11"/>
    </row>
    <row r="133" spans="2:12" ht="14.4" customHeight="1" x14ac:dyDescent="0.3">
      <c r="C133" s="11"/>
      <c r="D133" s="11"/>
      <c r="E133" s="11"/>
      <c r="F133" s="11"/>
      <c r="G133" s="11"/>
      <c r="H133" s="11"/>
      <c r="I133" s="11"/>
      <c r="J133" s="11"/>
      <c r="K133" s="11"/>
      <c r="L133" s="11"/>
    </row>
    <row r="134" spans="2:12" ht="14.4" customHeight="1" x14ac:dyDescent="0.3">
      <c r="C134" s="11"/>
      <c r="D134" s="11"/>
      <c r="E134" s="11"/>
      <c r="F134" s="11"/>
      <c r="G134" s="11"/>
      <c r="H134" s="11"/>
      <c r="I134" s="11"/>
      <c r="J134" s="11"/>
      <c r="K134" s="11"/>
      <c r="L134" s="11"/>
    </row>
    <row r="135" spans="2:12" ht="48.6" customHeight="1" x14ac:dyDescent="0.3">
      <c r="C135" s="49" t="str">
        <f>'Get Pivot'!H45</f>
        <v>More adults in Great Britain support providing financial incentives to pregnant smokers than oppose. Incentives are highly cost effective and are being implemented by the NHS in England in line with NICE guidance. [2]</v>
      </c>
      <c r="D135" s="49"/>
      <c r="E135" s="49"/>
      <c r="F135" s="49"/>
      <c r="G135" s="49"/>
      <c r="H135" s="49"/>
      <c r="I135" s="49"/>
      <c r="J135" s="49"/>
      <c r="K135" s="49"/>
      <c r="L135" s="49"/>
    </row>
    <row r="136" spans="2:12" ht="14.4" customHeight="1" x14ac:dyDescent="0.3">
      <c r="C136" s="27"/>
      <c r="D136" s="27"/>
      <c r="E136" s="27"/>
      <c r="F136" s="27"/>
      <c r="G136" s="27"/>
      <c r="H136" s="27"/>
      <c r="I136" s="27"/>
      <c r="J136" s="27"/>
      <c r="K136" s="27"/>
      <c r="L136" s="27"/>
    </row>
    <row r="137" spans="2:12" ht="14.4" customHeight="1" x14ac:dyDescent="0.3">
      <c r="C137" s="9"/>
      <c r="D137" s="9"/>
      <c r="E137" s="9"/>
      <c r="F137" s="9"/>
      <c r="G137" s="9"/>
      <c r="H137" s="9"/>
      <c r="I137" s="9"/>
      <c r="J137" s="9"/>
      <c r="K137" s="9"/>
      <c r="L137" s="9"/>
    </row>
    <row r="138" spans="2:12" ht="21" x14ac:dyDescent="0.4">
      <c r="B138" s="44" t="s">
        <v>259</v>
      </c>
      <c r="C138" s="9"/>
      <c r="D138" s="9"/>
      <c r="E138" s="9"/>
      <c r="F138" s="9"/>
      <c r="G138" s="9"/>
      <c r="H138" s="9"/>
      <c r="I138" s="9"/>
      <c r="J138" s="9"/>
      <c r="K138" s="9"/>
      <c r="L138" s="9"/>
    </row>
    <row r="139" spans="2:12" ht="14.4" customHeight="1" x14ac:dyDescent="0.3">
      <c r="C139" s="11"/>
      <c r="D139" s="11"/>
      <c r="E139" s="11"/>
      <c r="F139" s="11"/>
      <c r="G139" s="11"/>
      <c r="H139" s="11"/>
      <c r="I139" s="11"/>
      <c r="J139" s="11"/>
      <c r="K139" s="11"/>
      <c r="L139" s="11"/>
    </row>
    <row r="140" spans="2:12" ht="15" customHeight="1" x14ac:dyDescent="0.3">
      <c r="B140" s="14" t="s">
        <v>257</v>
      </c>
      <c r="C140" s="11"/>
      <c r="D140" s="11"/>
      <c r="E140" s="11"/>
      <c r="F140" s="11"/>
      <c r="G140" s="11"/>
      <c r="H140" s="11"/>
      <c r="I140" s="11"/>
      <c r="J140" s="11"/>
      <c r="K140" s="11"/>
      <c r="L140" s="11"/>
    </row>
    <row r="141" spans="2:12" ht="15" customHeight="1" x14ac:dyDescent="0.3">
      <c r="C141" s="11"/>
      <c r="D141" s="11"/>
      <c r="E141" s="11"/>
      <c r="F141" s="11"/>
      <c r="G141" s="11"/>
      <c r="H141" s="11"/>
      <c r="I141" s="11"/>
      <c r="J141" s="11"/>
      <c r="K141" s="11"/>
      <c r="L141" s="11"/>
    </row>
    <row r="142" spans="2:12" ht="15" customHeight="1" x14ac:dyDescent="0.3">
      <c r="C142" s="11"/>
      <c r="D142" s="11"/>
      <c r="E142" s="11"/>
      <c r="F142" s="11"/>
      <c r="G142" s="11"/>
      <c r="H142" s="11"/>
      <c r="I142" s="11"/>
      <c r="J142" s="11"/>
      <c r="K142" s="11"/>
      <c r="L142" s="11"/>
    </row>
    <row r="143" spans="2:12" ht="15" customHeight="1" x14ac:dyDescent="0.3">
      <c r="C143" s="11"/>
      <c r="D143" s="11"/>
      <c r="E143" s="11"/>
      <c r="F143" s="11"/>
      <c r="G143" s="11"/>
      <c r="H143" s="11"/>
      <c r="I143" s="11"/>
      <c r="J143" s="11"/>
      <c r="K143" s="11"/>
      <c r="L143" s="11"/>
    </row>
    <row r="144" spans="2:12" ht="15" customHeight="1" x14ac:dyDescent="0.3">
      <c r="C144" s="11"/>
      <c r="D144" s="11"/>
      <c r="E144" s="11"/>
      <c r="F144" s="11"/>
      <c r="G144" s="11"/>
      <c r="H144" s="11"/>
      <c r="I144" s="11"/>
      <c r="J144" s="11"/>
      <c r="K144" s="11"/>
      <c r="L144" s="11"/>
    </row>
    <row r="145" spans="2:12" ht="15" customHeight="1" x14ac:dyDescent="0.3">
      <c r="C145" s="11"/>
      <c r="D145" s="11"/>
      <c r="E145" s="11"/>
      <c r="F145" s="11"/>
      <c r="G145" s="11"/>
      <c r="H145" s="11"/>
      <c r="I145" s="11"/>
      <c r="J145" s="11"/>
      <c r="K145" s="11"/>
      <c r="L145" s="11"/>
    </row>
    <row r="146" spans="2:12" ht="15" customHeight="1" x14ac:dyDescent="0.3">
      <c r="C146" s="11"/>
      <c r="D146" s="11"/>
      <c r="E146" s="11"/>
      <c r="F146" s="11"/>
      <c r="G146" s="11"/>
      <c r="H146" s="11"/>
      <c r="I146" s="11"/>
      <c r="J146" s="11"/>
      <c r="K146" s="11"/>
      <c r="L146" s="11"/>
    </row>
    <row r="147" spans="2:12" ht="15" customHeight="1" x14ac:dyDescent="0.3">
      <c r="C147" s="11"/>
      <c r="D147" s="11"/>
      <c r="E147" s="11"/>
      <c r="F147" s="11"/>
      <c r="G147" s="11"/>
      <c r="H147" s="11"/>
      <c r="I147" s="11"/>
      <c r="J147" s="11"/>
      <c r="K147" s="11"/>
      <c r="L147" s="11"/>
    </row>
    <row r="148" spans="2:12" ht="15" customHeight="1" x14ac:dyDescent="0.3">
      <c r="C148" s="11"/>
      <c r="D148" s="11"/>
      <c r="E148" s="11"/>
      <c r="F148" s="11"/>
      <c r="G148" s="11"/>
      <c r="H148" s="11"/>
      <c r="I148" s="11"/>
      <c r="J148" s="11"/>
      <c r="K148" s="11"/>
      <c r="L148" s="11"/>
    </row>
    <row r="149" spans="2:12" ht="15" customHeight="1" x14ac:dyDescent="0.3">
      <c r="C149" s="11"/>
      <c r="D149" s="11"/>
      <c r="E149" s="11"/>
      <c r="F149" s="11"/>
      <c r="G149" s="11"/>
      <c r="H149" s="11"/>
      <c r="I149" s="11"/>
      <c r="J149" s="11"/>
      <c r="K149" s="11"/>
      <c r="L149" s="11"/>
    </row>
    <row r="150" spans="2:12" ht="15" customHeight="1" x14ac:dyDescent="0.3">
      <c r="C150" s="11"/>
      <c r="D150" s="11"/>
      <c r="E150" s="11"/>
      <c r="F150" s="11"/>
      <c r="G150" s="11"/>
      <c r="H150" s="11"/>
      <c r="I150" s="11"/>
      <c r="J150" s="11"/>
      <c r="K150" s="11"/>
      <c r="L150" s="11"/>
    </row>
    <row r="151" spans="2:12" ht="36" customHeight="1" x14ac:dyDescent="0.3">
      <c r="C151" s="46" t="str">
        <f>'Get Pivot'!H48</f>
        <v>80% of adults in  support banning the sale and import of disposable vapes (e-cigarettes), with 7% opposed.</v>
      </c>
      <c r="D151" s="46"/>
      <c r="E151" s="46"/>
      <c r="F151" s="46"/>
      <c r="G151" s="46"/>
      <c r="H151" s="46"/>
      <c r="I151" s="46"/>
      <c r="J151" s="46"/>
      <c r="K151" s="46"/>
      <c r="L151" s="46"/>
    </row>
    <row r="152" spans="2:12" ht="14.4" customHeight="1" x14ac:dyDescent="0.3">
      <c r="C152" s="9"/>
      <c r="D152" s="9"/>
      <c r="E152" s="9"/>
      <c r="F152" s="9"/>
      <c r="G152" s="9"/>
      <c r="H152" s="9"/>
      <c r="I152" s="9"/>
      <c r="J152" s="9"/>
      <c r="K152" s="9"/>
      <c r="L152" s="9"/>
    </row>
    <row r="153" spans="2:12" ht="14.4" customHeight="1" x14ac:dyDescent="0.3">
      <c r="C153" s="9"/>
      <c r="D153" s="9"/>
      <c r="E153" s="9"/>
      <c r="F153" s="9"/>
      <c r="G153" s="9"/>
      <c r="H153" s="9"/>
      <c r="I153" s="9"/>
      <c r="J153" s="9"/>
      <c r="K153" s="9"/>
      <c r="L153" s="9"/>
    </row>
    <row r="154" spans="2:12" ht="14.4" customHeight="1" x14ac:dyDescent="0.3">
      <c r="C154" s="9"/>
      <c r="D154" s="9"/>
      <c r="E154" s="9"/>
      <c r="F154" s="9"/>
      <c r="G154" s="9"/>
      <c r="H154" s="9"/>
      <c r="I154" s="9"/>
      <c r="J154" s="9"/>
      <c r="K154" s="9"/>
      <c r="L154" s="9"/>
    </row>
    <row r="155" spans="2:12" ht="14.4" customHeight="1" x14ac:dyDescent="0.3">
      <c r="B155" s="14" t="s">
        <v>256</v>
      </c>
      <c r="C155" s="10"/>
      <c r="D155" s="14"/>
      <c r="E155" s="14"/>
      <c r="F155" s="14"/>
    </row>
    <row r="156" spans="2:12" ht="14.4" customHeight="1" x14ac:dyDescent="0.3"/>
    <row r="157" spans="2:12" ht="14.4" customHeight="1" x14ac:dyDescent="0.3"/>
    <row r="158" spans="2:12" ht="14.4" customHeight="1" x14ac:dyDescent="0.3"/>
    <row r="159" spans="2:12" ht="14.4" customHeight="1" x14ac:dyDescent="0.3"/>
    <row r="160" spans="2:12" ht="14.4" customHeight="1" x14ac:dyDescent="0.3"/>
    <row r="161" spans="2:13" ht="14.4" customHeight="1" x14ac:dyDescent="0.3"/>
    <row r="162" spans="2:13" ht="14.4" customHeight="1" x14ac:dyDescent="0.3"/>
    <row r="163" spans="2:13" ht="14.4" customHeight="1" x14ac:dyDescent="0.3"/>
    <row r="164" spans="2:13" ht="14.4" customHeight="1" x14ac:dyDescent="0.3"/>
    <row r="165" spans="2:13" ht="14.4" customHeight="1" x14ac:dyDescent="0.3"/>
    <row r="166" spans="2:13" ht="37.200000000000003" customHeight="1" x14ac:dyDescent="0.3">
      <c r="C166" s="46" t="str">
        <f>'Get Pivot'!H49</f>
        <v>82% of adults in Great Britain support banning names of sweets, cartoons and bright colours on vape packaging, with 5% opposed.</v>
      </c>
      <c r="D166" s="46"/>
      <c r="E166" s="46"/>
      <c r="F166" s="46"/>
      <c r="G166" s="46"/>
      <c r="H166" s="46"/>
      <c r="I166" s="46"/>
      <c r="J166" s="46"/>
      <c r="K166" s="46"/>
      <c r="L166" s="46"/>
    </row>
    <row r="167" spans="2:13" ht="14.4" customHeight="1" x14ac:dyDescent="0.3">
      <c r="C167" s="9"/>
      <c r="D167" s="9"/>
      <c r="E167" s="9"/>
      <c r="F167" s="9"/>
      <c r="G167" s="9"/>
      <c r="H167" s="9"/>
      <c r="I167" s="9"/>
      <c r="J167" s="9"/>
      <c r="K167" s="9"/>
      <c r="L167" s="9"/>
    </row>
    <row r="168" spans="2:13" ht="14.4" customHeight="1" x14ac:dyDescent="0.3">
      <c r="C168" s="9"/>
      <c r="D168" s="9"/>
      <c r="E168" s="9"/>
      <c r="F168" s="9"/>
      <c r="G168" s="9"/>
      <c r="H168" s="9"/>
      <c r="I168" s="9"/>
      <c r="J168" s="9"/>
      <c r="K168" s="9"/>
      <c r="L168" s="9"/>
    </row>
    <row r="169" spans="2:13" ht="14.4" customHeight="1" x14ac:dyDescent="0.3">
      <c r="D169" s="9"/>
      <c r="E169" s="9"/>
      <c r="F169" s="9"/>
      <c r="G169" s="9"/>
      <c r="H169" s="9"/>
      <c r="I169" s="9"/>
      <c r="J169" s="9"/>
      <c r="K169" s="9"/>
      <c r="L169" s="9"/>
      <c r="M169" s="9"/>
    </row>
    <row r="170" spans="2:13" ht="14.4" customHeight="1" x14ac:dyDescent="0.3">
      <c r="B170" s="14" t="s">
        <v>255</v>
      </c>
    </row>
    <row r="171" spans="2:13" ht="14.4" customHeight="1" x14ac:dyDescent="0.3"/>
    <row r="172" spans="2:13" ht="14.4" customHeight="1" x14ac:dyDescent="0.3"/>
    <row r="173" spans="2:13" ht="14.4" customHeight="1" x14ac:dyDescent="0.3"/>
    <row r="174" spans="2:13" ht="14.4" customHeight="1" x14ac:dyDescent="0.3"/>
    <row r="175" spans="2:13" ht="14.4" customHeight="1" x14ac:dyDescent="0.3"/>
    <row r="176" spans="2:13" ht="14.4" customHeight="1" x14ac:dyDescent="0.3"/>
    <row r="177" spans="2:12" ht="14.4" customHeight="1" x14ac:dyDescent="0.3"/>
    <row r="178" spans="2:12" ht="14.4" customHeight="1" x14ac:dyDescent="0.3"/>
    <row r="179" spans="2:12" ht="14.4" customHeight="1" x14ac:dyDescent="0.3"/>
    <row r="180" spans="2:12" ht="14.4" customHeight="1" x14ac:dyDescent="0.3"/>
    <row r="181" spans="2:12" ht="68.400000000000006" customHeight="1" x14ac:dyDescent="0.3">
      <c r="C181" s="49" t="str">
        <f>'Get Pivot'!H50</f>
        <v>81% of adults in Great Britain support a ban on point of sale promotion of vapes, with 5% opposed. Point of sale promotion includes at the till, in store and as people enter shops. In 2024 72% of British 11-17 year olds who are aware of vapes reported seeing them promoted, most frequently in shops. [3]</v>
      </c>
      <c r="D181" s="49"/>
      <c r="E181" s="49"/>
      <c r="F181" s="49"/>
      <c r="G181" s="49"/>
      <c r="H181" s="49"/>
      <c r="I181" s="49"/>
      <c r="J181" s="49"/>
      <c r="K181" s="49"/>
      <c r="L181" s="49"/>
    </row>
    <row r="182" spans="2:12" ht="14.4" customHeight="1" x14ac:dyDescent="0.3">
      <c r="C182" s="27"/>
      <c r="D182" s="27"/>
      <c r="E182" s="27"/>
      <c r="F182" s="27"/>
      <c r="G182" s="27"/>
      <c r="H182" s="27"/>
      <c r="I182" s="27"/>
      <c r="J182" s="27"/>
      <c r="K182" s="27"/>
      <c r="L182" s="27"/>
    </row>
    <row r="183" spans="2:12" ht="14.4" customHeight="1" x14ac:dyDescent="0.3">
      <c r="C183" s="27"/>
      <c r="D183" s="27"/>
      <c r="E183" s="27"/>
      <c r="F183" s="27"/>
      <c r="G183" s="27"/>
      <c r="H183" s="27"/>
      <c r="I183" s="27"/>
      <c r="J183" s="27"/>
      <c r="K183" s="27"/>
      <c r="L183" s="27"/>
    </row>
    <row r="184" spans="2:12" ht="21" x14ac:dyDescent="0.4">
      <c r="B184" s="44" t="s">
        <v>279</v>
      </c>
      <c r="C184" s="27"/>
      <c r="D184" s="27"/>
      <c r="E184" s="27"/>
      <c r="F184" s="27"/>
      <c r="G184" s="27"/>
      <c r="H184" s="27"/>
      <c r="I184" s="27"/>
      <c r="J184" s="27"/>
      <c r="K184" s="27"/>
      <c r="L184" s="27"/>
    </row>
    <row r="185" spans="2:12" ht="14.4" customHeight="1" x14ac:dyDescent="0.3">
      <c r="C185" s="9"/>
      <c r="D185" s="9"/>
      <c r="E185" s="9"/>
      <c r="F185" s="9"/>
      <c r="G185" s="9"/>
      <c r="H185" s="9"/>
      <c r="I185" s="9"/>
      <c r="J185" s="9"/>
      <c r="K185" s="9"/>
      <c r="L185" s="9"/>
    </row>
    <row r="186" spans="2:12" ht="14.4" customHeight="1" x14ac:dyDescent="0.3">
      <c r="B186" s="14" t="s">
        <v>282</v>
      </c>
      <c r="D186" s="14"/>
      <c r="E186" s="14"/>
      <c r="F186" s="14"/>
      <c r="G186" s="14"/>
    </row>
    <row r="187" spans="2:12" ht="14.4" customHeight="1" x14ac:dyDescent="0.3"/>
    <row r="188" spans="2:12" ht="14.4" customHeight="1" x14ac:dyDescent="0.3"/>
    <row r="189" spans="2:12" ht="14.4" customHeight="1" x14ac:dyDescent="0.3"/>
    <row r="190" spans="2:12" ht="14.4" customHeight="1" x14ac:dyDescent="0.3"/>
    <row r="191" spans="2:12" ht="14.4" customHeight="1" x14ac:dyDescent="0.3"/>
    <row r="192" spans="2:12" ht="14.4" customHeight="1" x14ac:dyDescent="0.3"/>
    <row r="193" spans="2:12" ht="14.4" customHeight="1" x14ac:dyDescent="0.3"/>
    <row r="194" spans="2:12" ht="14.4" customHeight="1" x14ac:dyDescent="0.3"/>
    <row r="195" spans="2:12" ht="14.4" customHeight="1" x14ac:dyDescent="0.3"/>
    <row r="196" spans="2:12" ht="14.4" customHeight="1" x14ac:dyDescent="0.3"/>
    <row r="197" spans="2:12" ht="51.6" customHeight="1" x14ac:dyDescent="0.3">
      <c r="C197" s="49" t="str">
        <f>'Get Pivot'!H53</f>
        <v>There is overwhelming support in Great Britain for requiring people giving evidence to government to be required to declare who they are funded by (88%, with just 1% opposed).</v>
      </c>
      <c r="D197" s="49"/>
      <c r="E197" s="49"/>
      <c r="F197" s="49"/>
      <c r="G197" s="49"/>
      <c r="H197" s="49"/>
      <c r="I197" s="49"/>
      <c r="J197" s="49"/>
      <c r="K197" s="49"/>
      <c r="L197" s="49"/>
    </row>
    <row r="198" spans="2:12" ht="14.4" customHeight="1" x14ac:dyDescent="0.3">
      <c r="C198" s="9"/>
      <c r="D198" s="9"/>
      <c r="E198" s="9"/>
      <c r="F198" s="9"/>
      <c r="G198" s="9"/>
      <c r="H198" s="9"/>
      <c r="I198" s="9"/>
      <c r="J198" s="9"/>
      <c r="K198" s="9"/>
      <c r="L198" s="9"/>
    </row>
    <row r="199" spans="2:12" ht="14.4" customHeight="1" x14ac:dyDescent="0.3">
      <c r="B199" s="14" t="s">
        <v>278</v>
      </c>
      <c r="D199" s="14"/>
      <c r="E199" s="14"/>
      <c r="F199" s="14"/>
      <c r="G199" s="14"/>
    </row>
    <row r="200" spans="2:12" ht="14.4" customHeight="1" x14ac:dyDescent="0.3"/>
    <row r="201" spans="2:12" ht="14.4" customHeight="1" x14ac:dyDescent="0.3"/>
    <row r="202" spans="2:12" ht="14.4" customHeight="1" x14ac:dyDescent="0.3"/>
    <row r="203" spans="2:12" ht="14.4" customHeight="1" x14ac:dyDescent="0.3"/>
    <row r="204" spans="2:12" ht="14.4" customHeight="1" x14ac:dyDescent="0.3"/>
    <row r="205" spans="2:12" ht="14.4" customHeight="1" x14ac:dyDescent="0.3"/>
    <row r="206" spans="2:12" ht="14.4" customHeight="1" x14ac:dyDescent="0.3"/>
    <row r="207" spans="2:12" ht="14.4" customHeight="1" x14ac:dyDescent="0.3"/>
    <row r="208" spans="2:12" ht="14.4" customHeight="1" x14ac:dyDescent="0.3"/>
    <row r="209" spans="2:12" ht="14.4" customHeight="1" x14ac:dyDescent="0.3"/>
    <row r="210" spans="2:12" ht="34.799999999999997" customHeight="1" x14ac:dyDescent="0.3">
      <c r="C210" s="49" t="str">
        <f>'Get Pivot'!H54</f>
        <v>78% of adults in want the government to be protected from the influence of the tobacco industry and its representatives, with 2% opposed.</v>
      </c>
      <c r="D210" s="49"/>
      <c r="E210" s="49"/>
      <c r="F210" s="49"/>
      <c r="G210" s="49"/>
      <c r="H210" s="49"/>
      <c r="I210" s="49"/>
      <c r="J210" s="49"/>
      <c r="K210" s="49"/>
      <c r="L210" s="49"/>
    </row>
    <row r="211" spans="2:12" ht="14.4" customHeight="1" x14ac:dyDescent="0.3">
      <c r="C211" s="27"/>
      <c r="D211" s="27"/>
      <c r="E211" s="27"/>
      <c r="F211" s="27"/>
      <c r="G211" s="27"/>
      <c r="H211" s="27"/>
      <c r="I211" s="27"/>
      <c r="J211" s="27"/>
      <c r="K211" s="27"/>
      <c r="L211" s="27"/>
    </row>
    <row r="212" spans="2:12" ht="21" x14ac:dyDescent="0.4">
      <c r="B212" s="44" t="s">
        <v>280</v>
      </c>
      <c r="C212" s="9"/>
      <c r="D212" s="9"/>
      <c r="E212" s="9"/>
      <c r="F212" s="9"/>
      <c r="G212" s="9"/>
      <c r="H212" s="9"/>
      <c r="I212" s="9"/>
      <c r="J212" s="9"/>
      <c r="K212" s="9"/>
      <c r="L212" s="9"/>
    </row>
    <row r="213" spans="2:12" ht="14.4" customHeight="1" x14ac:dyDescent="0.3">
      <c r="C213" s="9"/>
      <c r="D213" s="9"/>
      <c r="E213" s="9"/>
      <c r="F213" s="9"/>
      <c r="G213" s="9"/>
      <c r="H213" s="9"/>
      <c r="I213" s="9"/>
      <c r="J213" s="9"/>
      <c r="K213" s="9"/>
      <c r="L213" s="9"/>
    </row>
    <row r="214" spans="2:12" ht="14.4" customHeight="1" x14ac:dyDescent="0.3">
      <c r="B214" s="14" t="s">
        <v>222</v>
      </c>
      <c r="C214" s="9"/>
      <c r="D214" s="9"/>
      <c r="E214" s="9"/>
      <c r="F214" s="9"/>
      <c r="G214" s="9"/>
      <c r="H214" s="9"/>
      <c r="I214" s="9"/>
      <c r="J214" s="9"/>
      <c r="K214" s="9"/>
      <c r="L214" s="9"/>
    </row>
    <row r="215" spans="2:12" ht="14.4" customHeight="1" x14ac:dyDescent="0.3">
      <c r="C215" s="9"/>
      <c r="D215" s="9"/>
      <c r="E215" s="9"/>
      <c r="F215" s="9"/>
      <c r="G215" s="9"/>
      <c r="H215" s="9"/>
      <c r="I215" s="9"/>
      <c r="J215" s="9"/>
      <c r="K215" s="9"/>
      <c r="L215" s="9"/>
    </row>
    <row r="216" spans="2:12" ht="14.4" customHeight="1" x14ac:dyDescent="0.3">
      <c r="C216" s="54" t="str">
        <f>'Get Pivot'!H61</f>
        <v>Opinions in Great Britain about smoking bans in different locations</v>
      </c>
      <c r="D216" s="54"/>
      <c r="E216" s="54"/>
      <c r="F216" s="54"/>
      <c r="G216" s="54"/>
      <c r="H216" s="54"/>
      <c r="I216" s="54"/>
      <c r="J216" s="54"/>
      <c r="K216" s="54"/>
      <c r="L216" s="9"/>
    </row>
    <row r="217" spans="2:12" ht="14.4" customHeight="1" x14ac:dyDescent="0.3">
      <c r="C217" s="9"/>
      <c r="D217" s="9"/>
      <c r="E217" s="9"/>
      <c r="F217" s="9"/>
      <c r="G217" s="9"/>
      <c r="H217" s="9"/>
      <c r="I217" s="9"/>
      <c r="J217" s="9"/>
      <c r="K217" s="9"/>
      <c r="L217" s="9"/>
    </row>
    <row r="218" spans="2:12" ht="14.4" customHeight="1" x14ac:dyDescent="0.3">
      <c r="C218" s="9"/>
      <c r="D218" s="9"/>
      <c r="E218" s="9"/>
      <c r="F218" s="9"/>
      <c r="G218" s="9"/>
      <c r="H218" s="9"/>
      <c r="I218" s="9"/>
      <c r="J218" s="9"/>
      <c r="K218" s="9"/>
      <c r="L218" s="9"/>
    </row>
    <row r="219" spans="2:12" ht="14.4" customHeight="1" x14ac:dyDescent="0.3">
      <c r="C219" s="9"/>
      <c r="D219" s="9"/>
      <c r="E219" s="9"/>
      <c r="F219" s="9"/>
      <c r="G219" s="9"/>
      <c r="H219" s="9"/>
      <c r="I219" s="9"/>
      <c r="J219" s="9"/>
      <c r="K219" s="9"/>
      <c r="L219" s="9"/>
    </row>
    <row r="220" spans="2:12" ht="51" customHeight="1" x14ac:dyDescent="0.3">
      <c r="C220" s="9"/>
      <c r="D220" s="9"/>
      <c r="E220" s="9"/>
      <c r="F220" s="9"/>
      <c r="G220" s="9"/>
      <c r="H220" s="9"/>
      <c r="I220" s="9"/>
      <c r="J220" s="9"/>
      <c r="K220" s="9"/>
      <c r="L220" s="9"/>
    </row>
    <row r="221" spans="2:12" ht="14.4" customHeight="1" x14ac:dyDescent="0.3">
      <c r="C221" s="9"/>
      <c r="D221" s="9"/>
      <c r="E221" s="9"/>
      <c r="F221" s="9"/>
      <c r="G221" s="9"/>
      <c r="H221" s="9"/>
      <c r="I221" s="9"/>
      <c r="J221" s="9"/>
      <c r="K221" s="9"/>
      <c r="L221" s="9"/>
    </row>
    <row r="222" spans="2:12" ht="14.4" customHeight="1" x14ac:dyDescent="0.3">
      <c r="C222" s="9"/>
      <c r="D222" s="9"/>
      <c r="E222" s="9"/>
      <c r="F222" s="9"/>
      <c r="G222" s="9"/>
      <c r="H222" s="9"/>
      <c r="I222" s="9"/>
      <c r="J222" s="9"/>
      <c r="K222" s="9"/>
      <c r="L222" s="9"/>
    </row>
    <row r="223" spans="2:12" ht="24" customHeight="1" x14ac:dyDescent="0.3">
      <c r="C223" s="9"/>
      <c r="D223" s="9"/>
      <c r="E223" s="9"/>
      <c r="F223" s="9"/>
      <c r="G223" s="9"/>
      <c r="H223" s="9"/>
      <c r="I223" s="9"/>
      <c r="J223" s="9"/>
      <c r="K223" s="9"/>
      <c r="L223" s="9"/>
    </row>
    <row r="224" spans="2:12" ht="14.4" customHeight="1" x14ac:dyDescent="0.3">
      <c r="C224" s="9"/>
      <c r="D224" s="9"/>
      <c r="E224" s="9"/>
      <c r="F224" s="9"/>
      <c r="G224" s="9"/>
      <c r="H224" s="9"/>
      <c r="I224" s="9"/>
      <c r="J224" s="9"/>
      <c r="K224" s="9"/>
      <c r="L224" s="9"/>
    </row>
    <row r="225" spans="3:12" ht="14.4" customHeight="1" x14ac:dyDescent="0.3">
      <c r="C225" s="9"/>
      <c r="D225" s="9"/>
      <c r="E225" s="9"/>
      <c r="F225" s="9"/>
      <c r="G225" s="9"/>
      <c r="H225" s="9"/>
      <c r="I225" s="9"/>
      <c r="J225" s="9"/>
      <c r="K225" s="9"/>
      <c r="L225" s="9"/>
    </row>
    <row r="226" spans="3:12" ht="14.4" customHeight="1" x14ac:dyDescent="0.3">
      <c r="C226" s="9"/>
      <c r="D226" s="9"/>
      <c r="E226" s="9"/>
      <c r="F226" s="9"/>
      <c r="G226" s="9"/>
      <c r="H226" s="9"/>
      <c r="I226" s="9"/>
      <c r="J226" s="9"/>
      <c r="K226" s="9"/>
      <c r="L226" s="9"/>
    </row>
    <row r="227" spans="3:12" ht="14.4" customHeight="1" x14ac:dyDescent="0.3">
      <c r="C227" s="9"/>
      <c r="D227" s="9"/>
      <c r="E227" s="9"/>
      <c r="F227" s="9"/>
      <c r="G227" s="9"/>
      <c r="H227" s="9"/>
      <c r="I227" s="9"/>
      <c r="J227" s="9"/>
      <c r="K227" s="9"/>
      <c r="L227" s="9"/>
    </row>
    <row r="228" spans="3:12" ht="51.6" customHeight="1" x14ac:dyDescent="0.3">
      <c r="C228" s="9"/>
      <c r="D228" s="9"/>
      <c r="E228" s="9"/>
      <c r="F228" s="9"/>
      <c r="G228" s="9"/>
      <c r="H228" s="9"/>
      <c r="I228" s="9"/>
      <c r="J228" s="9"/>
      <c r="K228" s="9"/>
      <c r="L228" s="9"/>
    </row>
    <row r="229" spans="3:12" ht="14.4" customHeight="1" x14ac:dyDescent="0.3">
      <c r="C229" s="9"/>
      <c r="D229" s="9"/>
      <c r="E229" s="9"/>
      <c r="F229" s="9"/>
      <c r="G229" s="9"/>
      <c r="H229" s="9"/>
      <c r="I229" s="9"/>
      <c r="J229" s="9"/>
      <c r="K229" s="9"/>
      <c r="L229" s="9"/>
    </row>
    <row r="230" spans="3:12" ht="15.6" x14ac:dyDescent="0.3">
      <c r="C230" s="9"/>
      <c r="D230" s="9"/>
      <c r="E230" s="9"/>
      <c r="F230" s="9"/>
      <c r="G230" s="9"/>
      <c r="H230" s="9"/>
      <c r="I230" s="9"/>
      <c r="J230" s="9"/>
      <c r="K230" s="9"/>
      <c r="L230" s="9"/>
    </row>
    <row r="231" spans="3:12" ht="27.6" customHeight="1" x14ac:dyDescent="0.3">
      <c r="C231" s="9"/>
      <c r="D231" s="9"/>
      <c r="E231" s="9"/>
      <c r="F231" s="9"/>
      <c r="G231" s="9"/>
      <c r="H231" s="9"/>
      <c r="I231" s="9"/>
      <c r="J231" s="9"/>
      <c r="K231" s="9"/>
      <c r="L231" s="9"/>
    </row>
    <row r="232" spans="3:12" ht="15.6" x14ac:dyDescent="0.3">
      <c r="C232" s="9"/>
      <c r="D232" s="9"/>
      <c r="E232" s="9"/>
      <c r="F232" s="9"/>
      <c r="G232" s="9"/>
      <c r="H232" s="9"/>
      <c r="I232" s="9"/>
      <c r="J232" s="9"/>
      <c r="K232" s="9"/>
      <c r="L232" s="9"/>
    </row>
    <row r="233" spans="3:12" ht="15.6" x14ac:dyDescent="0.3">
      <c r="C233" s="9"/>
      <c r="D233" s="9"/>
      <c r="E233" s="9"/>
      <c r="F233" s="9"/>
      <c r="G233" s="9"/>
      <c r="H233" s="9"/>
      <c r="I233" s="9"/>
      <c r="J233" s="9"/>
      <c r="K233" s="9"/>
      <c r="L233" s="9"/>
    </row>
    <row r="234" spans="3:12" ht="55.2" customHeight="1" x14ac:dyDescent="0.3">
      <c r="C234" s="46" t="str">
        <f>'Get Pivot'!H63</f>
        <v>There is majority support in Great Britain for banning smoking in a range of outdoor areas. The highest level of support, 81%, is for a smoking ban in all public transport waiting areas. Previous years show that there are also high levels of support for banning smoking at sports stadiums, childrens' sports and play areas, beaches and parks.</v>
      </c>
      <c r="D234" s="46"/>
      <c r="E234" s="46"/>
      <c r="F234" s="46"/>
      <c r="G234" s="46"/>
      <c r="H234" s="46"/>
      <c r="I234" s="46"/>
      <c r="J234" s="46"/>
      <c r="K234" s="46"/>
      <c r="L234" s="46"/>
    </row>
    <row r="235" spans="3:12" x14ac:dyDescent="0.3">
      <c r="C235" s="46"/>
      <c r="D235" s="46"/>
      <c r="E235" s="46"/>
      <c r="F235" s="46"/>
      <c r="G235" s="46"/>
      <c r="H235" s="46"/>
      <c r="I235" s="46"/>
      <c r="J235" s="46"/>
      <c r="K235" s="46"/>
      <c r="L235" s="46"/>
    </row>
    <row r="236" spans="3:12" x14ac:dyDescent="0.3">
      <c r="C236" s="46"/>
      <c r="D236" s="46"/>
      <c r="E236" s="46"/>
      <c r="F236" s="46"/>
      <c r="G236" s="46"/>
      <c r="H236" s="46"/>
      <c r="I236" s="46"/>
      <c r="J236" s="46"/>
      <c r="K236" s="46"/>
      <c r="L236" s="46"/>
    </row>
    <row r="237" spans="3:12" ht="35.4" customHeight="1" x14ac:dyDescent="0.3">
      <c r="C237" s="9"/>
      <c r="D237" s="9"/>
      <c r="E237" s="9"/>
      <c r="F237" s="9"/>
      <c r="G237" s="9"/>
      <c r="H237" s="9"/>
      <c r="I237" s="9"/>
      <c r="J237" s="9"/>
      <c r="K237" s="9"/>
      <c r="L237" s="9"/>
    </row>
    <row r="238" spans="3:12" x14ac:dyDescent="0.3">
      <c r="C238" s="47" t="s">
        <v>220</v>
      </c>
      <c r="D238" s="47"/>
      <c r="E238" s="47"/>
      <c r="F238" s="47"/>
      <c r="G238" s="47"/>
      <c r="H238" s="47"/>
      <c r="I238" s="47"/>
      <c r="J238" s="47"/>
      <c r="K238" s="47"/>
      <c r="L238" s="47"/>
    </row>
    <row r="240" spans="3:12" x14ac:dyDescent="0.3">
      <c r="C240" s="6" t="s">
        <v>21</v>
      </c>
      <c r="D240" s="30"/>
      <c r="E240" s="30"/>
      <c r="F240" s="30"/>
      <c r="G240" s="30"/>
      <c r="H240" s="30"/>
      <c r="I240" s="30"/>
      <c r="J240" s="30"/>
      <c r="K240" s="30"/>
      <c r="L240" s="30"/>
    </row>
    <row r="241" spans="2:12" x14ac:dyDescent="0.3">
      <c r="D241" s="30"/>
      <c r="E241" s="30"/>
      <c r="F241" s="30"/>
      <c r="G241" s="30"/>
      <c r="H241" s="30"/>
      <c r="I241" s="30"/>
      <c r="J241" s="30"/>
      <c r="K241" s="30"/>
      <c r="L241" s="30"/>
    </row>
    <row r="242" spans="2:12" ht="52.2" customHeight="1" x14ac:dyDescent="0.3">
      <c r="B242" s="29">
        <v>1</v>
      </c>
      <c r="C242" s="48" t="str">
        <f>'Get Pivot'!H8</f>
        <v>All figures, unless otherwise stated, are from ASH Smokefree Great Britain Survey 2024. The total sample size was 13,266 adults in GB and 11,018 for England. The unweighted sample size for Great Britain was 13,266 . Fieldwork was undertaken between 29th February 2024 and 18th March 2024. The survey is carried out online. The figures have been weighted and are representative of all adults in England (aged 18+).</v>
      </c>
      <c r="D242" s="48"/>
      <c r="E242" s="48"/>
      <c r="F242" s="48"/>
      <c r="G242" s="48"/>
      <c r="H242" s="48"/>
      <c r="I242" s="48"/>
      <c r="J242" s="48"/>
      <c r="K242" s="48"/>
      <c r="L242" s="48"/>
    </row>
    <row r="243" spans="2:12" ht="15.6" customHeight="1" x14ac:dyDescent="0.3">
      <c r="B243" s="29"/>
      <c r="C243" s="53" t="s">
        <v>225</v>
      </c>
      <c r="D243" s="53"/>
      <c r="E243" s="53"/>
      <c r="F243" s="53"/>
      <c r="G243" s="53"/>
      <c r="H243" s="53"/>
      <c r="I243" s="53"/>
      <c r="J243" s="53"/>
      <c r="K243" s="53"/>
      <c r="L243" s="53"/>
    </row>
    <row r="245" spans="2:12" ht="28.2" customHeight="1" x14ac:dyDescent="0.3">
      <c r="B245" s="29">
        <v>2</v>
      </c>
      <c r="C245" s="48" t="s">
        <v>223</v>
      </c>
      <c r="D245" s="48"/>
      <c r="E245" s="48"/>
      <c r="F245" s="48"/>
      <c r="G245" s="48"/>
      <c r="H245" s="48"/>
      <c r="I245" s="48"/>
      <c r="J245" s="48"/>
      <c r="K245" s="48"/>
      <c r="L245" s="48"/>
    </row>
    <row r="246" spans="2:12" x14ac:dyDescent="0.3">
      <c r="C246" s="31" t="s">
        <v>224</v>
      </c>
    </row>
    <row r="248" spans="2:12" ht="51.6" customHeight="1" x14ac:dyDescent="0.3">
      <c r="B248" s="28">
        <v>3</v>
      </c>
      <c r="C248" s="48" t="s">
        <v>272</v>
      </c>
      <c r="D248" s="48"/>
      <c r="E248" s="48"/>
      <c r="F248" s="48"/>
      <c r="G248" s="48"/>
      <c r="H248" s="48"/>
      <c r="I248" s="48"/>
      <c r="J248" s="48"/>
      <c r="K248" s="48"/>
      <c r="L248" s="48"/>
    </row>
    <row r="249" spans="2:12" x14ac:dyDescent="0.3">
      <c r="C249" s="31" t="s">
        <v>273</v>
      </c>
    </row>
    <row r="250" spans="2:12" x14ac:dyDescent="0.3">
      <c r="C250" s="31"/>
    </row>
    <row r="251" spans="2:12" ht="16.2" x14ac:dyDescent="0.3">
      <c r="B251" s="28"/>
    </row>
  </sheetData>
  <sheetProtection algorithmName="SHA-512" hashValue="FiNxDUD5PQv+ZKcw3oFDdmJmufzPzEaWknORwn4QqulvtwTum/HX7po6tjQgwynGyQj5ZXjm2jBQFZgvqHjYTg==" saltValue="+Zru+YnxMKhKpiRTzy2NsQ==" spinCount="100000" sheet="1" selectLockedCells="1" selectUnlockedCells="1"/>
  <mergeCells count="25">
    <mergeCell ref="C105:L105"/>
    <mergeCell ref="C210:L210"/>
    <mergeCell ref="C248:L248"/>
    <mergeCell ref="C245:L245"/>
    <mergeCell ref="C243:L243"/>
    <mergeCell ref="C135:L135"/>
    <mergeCell ref="C197:L197"/>
    <mergeCell ref="C216:K216"/>
    <mergeCell ref="C151:L151"/>
    <mergeCell ref="B3:H3"/>
    <mergeCell ref="C166:L166"/>
    <mergeCell ref="C238:L238"/>
    <mergeCell ref="C242:L242"/>
    <mergeCell ref="C120:L120"/>
    <mergeCell ref="C91:L91"/>
    <mergeCell ref="C181:L181"/>
    <mergeCell ref="B6:L6"/>
    <mergeCell ref="C8:L8"/>
    <mergeCell ref="C234:L236"/>
    <mergeCell ref="C10:L10"/>
    <mergeCell ref="C88:L88"/>
    <mergeCell ref="C78:L78"/>
    <mergeCell ref="C49:L49"/>
    <mergeCell ref="C62:L62"/>
    <mergeCell ref="C12:K14"/>
  </mergeCells>
  <hyperlinks>
    <hyperlink ref="C246" r:id="rId1" xr:uid="{5613B46D-594A-43EB-A7A9-A361392F330E}"/>
    <hyperlink ref="C249" r:id="rId2" xr:uid="{62F7E99A-B1D5-4576-9860-D485D33A6834}"/>
  </hyperlinks>
  <pageMargins left="0.7" right="0.7" top="0.75" bottom="0.75" header="0.3" footer="0.3"/>
  <pageSetup paperSize="9" scale="83" orientation="portrait" r:id="rId3"/>
  <headerFooter>
    <oddFooter>&amp;CASH Public Opinion Briefings Autumn 2024&amp;Rp&amp;P</oddFooter>
  </headerFooter>
  <rowBreaks count="6" manualBreakCount="6">
    <brk id="35" max="12" man="1"/>
    <brk id="64" max="12" man="1"/>
    <brk id="106" max="12" man="1"/>
    <brk id="136" max="12" man="1"/>
    <brk id="183" max="12" man="1"/>
    <brk id="211" max="12" man="1"/>
  </rowBreaks>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114-222D-44C8-9597-7CC5F9CDB7B4}">
  <sheetPr codeName="Sheet4"/>
  <dimension ref="A1:I65"/>
  <sheetViews>
    <sheetView topLeftCell="A27" workbookViewId="0">
      <selection activeCell="A27" sqref="A27"/>
    </sheetView>
  </sheetViews>
  <sheetFormatPr defaultRowHeight="14.4" x14ac:dyDescent="0.3"/>
  <cols>
    <col min="1" max="1" width="43.88671875" style="3" customWidth="1"/>
    <col min="6" max="7" width="11.109375" customWidth="1"/>
    <col min="8" max="8" width="85.5546875" style="3" customWidth="1"/>
  </cols>
  <sheetData>
    <row r="1" spans="1:8" x14ac:dyDescent="0.3">
      <c r="A1" s="3" t="s">
        <v>17</v>
      </c>
      <c r="B1" t="str">
        <f>'Pivot 1'!A2</f>
        <v>Great Britain</v>
      </c>
      <c r="C1" t="str">
        <f>IF(OR(B1 = "England", B1 = "London", B1 = "Yorkshire and the Humber", B1 = "Great Britain"), B1, _xlfn.CONCAT("the ", B1))</f>
        <v>Great Britain</v>
      </c>
      <c r="H1" s="3" t="s">
        <v>18</v>
      </c>
    </row>
    <row r="3" spans="1:8" ht="28.8" x14ac:dyDescent="0.3">
      <c r="A3" s="3" t="s">
        <v>228</v>
      </c>
      <c r="F3" s="15" t="s">
        <v>20</v>
      </c>
      <c r="H3" s="3" t="str">
        <f>_xlfn.CONCAT("ASH Smokefree Survey 2024 ",CHAR(10),"Public Opinion in ",C1)</f>
        <v>ASH Smokefree Survey 2024 
Public Opinion in Great Britain</v>
      </c>
    </row>
    <row r="4" spans="1:8" ht="28.8" x14ac:dyDescent="0.3">
      <c r="A4" s="3" t="s">
        <v>227</v>
      </c>
      <c r="F4" s="15" t="s">
        <v>22</v>
      </c>
      <c r="H4" s="3" t="str">
        <f>_xlfn.CONCAT("In 2024, ",C1," supported government action to tackle tobacco")</f>
        <v>In 2024, Great Britain supported government action to tackle tobacco</v>
      </c>
    </row>
    <row r="5" spans="1:8" x14ac:dyDescent="0.3">
      <c r="F5" s="15"/>
    </row>
    <row r="6" spans="1:8" ht="43.2" x14ac:dyDescent="0.3">
      <c r="F6" s="15" t="s">
        <v>271</v>
      </c>
      <c r="H6" s="3" t="str">
        <f>H30</f>
        <v>79% of adults in Great Britain support current government action to limit smoking or think government should do more. Only 9% think the government is doing too much while 50% think the government should do more.</v>
      </c>
    </row>
    <row r="7" spans="1:8" ht="32.4" customHeight="1" x14ac:dyDescent="0.3">
      <c r="F7" s="15" t="s">
        <v>121</v>
      </c>
      <c r="H7" s="3" t="str">
        <f>_xlfn.CONCAT("Opinions over time in ", C1," about the government's level of activity to limit smoking")</f>
        <v>Opinions over time in Great Britain about the government's level of activity to limit smoking</v>
      </c>
    </row>
    <row r="8" spans="1:8" ht="59.4" customHeight="1" x14ac:dyDescent="0.3">
      <c r="F8" s="15" t="s">
        <v>34</v>
      </c>
      <c r="G8" s="26">
        <f>(GETPIVOTDATA("Sample Size",'Pivot 1'!$A$1))</f>
        <v>13266</v>
      </c>
      <c r="H8" s="3" t="str">
        <f>_xlfn.CONCAT("All figures, unless otherwise stated, are from ASH Smokefree Great Britain Survey 2024. The total sample size was 13,266 adults in GB and 11,018 for England. The unweighted sample size for ", C1, " was ", TEXT(G8,"#,##0_ ;-#,##0"), ". Fieldwork was undertaken between 29th February 2024 and 18th March 2024. The survey is carried out online. The figures have been weighted and are representative of all adults in England (aged 18+).")</f>
        <v>All figures, unless otherwise stated, are from ASH Smokefree Great Britain Survey 2024. The total sample size was 13,266 adults in GB and 11,018 for England. The unweighted sample size for Great Britain was 13,266 . Fieldwork was undertaken between 29th February 2024 and 18th March 2024. The survey is carried out online. The figures have been weighted and are representative of all adults in England (aged 18+).</v>
      </c>
    </row>
    <row r="9" spans="1:8" ht="14.4" customHeight="1" x14ac:dyDescent="0.3">
      <c r="F9" s="15"/>
      <c r="G9" s="16"/>
    </row>
    <row r="10" spans="1:8" ht="14.4" customHeight="1" x14ac:dyDescent="0.3">
      <c r="D10" s="17" t="s">
        <v>120</v>
      </c>
      <c r="F10" s="15"/>
      <c r="G10" s="16"/>
    </row>
    <row r="11" spans="1:8" ht="14.4" customHeight="1" x14ac:dyDescent="0.3">
      <c r="D11" t="s">
        <v>37</v>
      </c>
      <c r="E11" t="s">
        <v>38</v>
      </c>
      <c r="F11" s="15" t="s">
        <v>16</v>
      </c>
      <c r="G11" s="16" t="s">
        <v>39</v>
      </c>
    </row>
    <row r="12" spans="1:8" ht="14.4" customHeight="1" x14ac:dyDescent="0.3">
      <c r="C12">
        <v>2009</v>
      </c>
      <c r="D12" s="18">
        <f>(GETPIVOTDATA("TM2009",'Pivot 1'!$A$1))</f>
        <v>0.2</v>
      </c>
      <c r="E12" s="18">
        <f>(GETPIVOTDATA("AR2009",'Pivot 1'!$A$1))</f>
        <v>0.46</v>
      </c>
      <c r="F12" s="19">
        <f>(GETPIVOTDATA("NE2009",'Pivot 1'!$A$1))</f>
        <v>0.28999999999999998</v>
      </c>
      <c r="G12" s="20">
        <f>(GETPIVOTDATA("DK2009",'Pivot 1'!$A$1))</f>
        <v>0.04</v>
      </c>
    </row>
    <row r="13" spans="1:8" ht="14.4" customHeight="1" x14ac:dyDescent="0.3">
      <c r="C13">
        <v>2010</v>
      </c>
      <c r="D13" s="18">
        <f>(GETPIVOTDATA("TM2010",'Pivot 1'!$A$1))</f>
        <v>0.20479999999999998</v>
      </c>
      <c r="E13" s="18">
        <f>(GETPIVOTDATA("AR2010",'Pivot 1'!$A$1))</f>
        <v>0.4249</v>
      </c>
      <c r="F13" s="19">
        <f>(GETPIVOTDATA("NE2010",'Pivot 1'!$A$1))</f>
        <v>0.31969999999999998</v>
      </c>
      <c r="G13" s="20">
        <f>(GETPIVOTDATA("DK2010",'Pivot 1'!$A$1))</f>
        <v>5.0499999999999996E-2</v>
      </c>
    </row>
    <row r="14" spans="1:8" ht="14.4" customHeight="1" x14ac:dyDescent="0.3">
      <c r="C14">
        <v>2011</v>
      </c>
      <c r="D14" s="18">
        <f>(GETPIVOTDATA("TM2011",'Pivot 1'!$A$1))</f>
        <v>0.18480000000000002</v>
      </c>
      <c r="E14" s="18">
        <f>(GETPIVOTDATA("AR2011",'Pivot 1'!$A$1))</f>
        <v>0.38119999999999998</v>
      </c>
      <c r="F14" s="19">
        <f>(GETPIVOTDATA("NE2011",'Pivot 1'!$A$1))</f>
        <v>0.36040000000000005</v>
      </c>
      <c r="G14" s="20">
        <f>(GETPIVOTDATA("DK2011",'Pivot 1'!$A$1))</f>
        <v>7.3599999999999999E-2</v>
      </c>
    </row>
    <row r="15" spans="1:8" ht="14.4" customHeight="1" x14ac:dyDescent="0.3">
      <c r="C15">
        <v>2012</v>
      </c>
      <c r="D15" s="18">
        <f>(GETPIVOTDATA("TM2012",'Pivot 1'!$A$1))</f>
        <v>0.17609999999999998</v>
      </c>
      <c r="E15" s="18">
        <f>(GETPIVOTDATA("AR2012",'Pivot 1'!$A$1))</f>
        <v>0.3579</v>
      </c>
      <c r="F15" s="19">
        <f>(GETPIVOTDATA("NE2012",'Pivot 1'!$A$1))</f>
        <v>0.36869999999999997</v>
      </c>
      <c r="G15" s="20">
        <f>(GETPIVOTDATA("DK2012",'Pivot 1'!$A$1))</f>
        <v>9.7299999999999998E-2</v>
      </c>
    </row>
    <row r="16" spans="1:8" ht="14.4" customHeight="1" x14ac:dyDescent="0.3">
      <c r="C16">
        <v>2013</v>
      </c>
      <c r="D16" s="18">
        <f>(GETPIVOTDATA("TM2013",'Pivot 1'!$A$1))</f>
        <v>0.1439</v>
      </c>
      <c r="E16" s="18">
        <f>(GETPIVOTDATA("AR2013",'Pivot 1'!$A$1))</f>
        <v>0.37490000000000001</v>
      </c>
      <c r="F16" s="19">
        <f>(GETPIVOTDATA("NE2013",'Pivot 1'!$A$1))</f>
        <v>0.3821</v>
      </c>
      <c r="G16" s="20">
        <f>(GETPIVOTDATA("DK2013",'Pivot 1'!$A$1))</f>
        <v>9.9000000000000005E-2</v>
      </c>
    </row>
    <row r="17" spans="1:9" ht="14.4" customHeight="1" x14ac:dyDescent="0.3">
      <c r="C17">
        <v>2014</v>
      </c>
      <c r="D17" s="18">
        <f>(GETPIVOTDATA("TM2014",'Pivot 1'!$A$1))</f>
        <v>0.1147</v>
      </c>
      <c r="E17" s="18">
        <f>(GETPIVOTDATA("AR2014",'Pivot 1'!$A$1))</f>
        <v>0.33700000000000002</v>
      </c>
      <c r="F17" s="19">
        <f>(GETPIVOTDATA("NE2014",'Pivot 1'!$A$1))</f>
        <v>0.41970000000000002</v>
      </c>
      <c r="G17" s="20">
        <f>(GETPIVOTDATA("DK2014",'Pivot 1'!$A$1))</f>
        <v>0.12859999999999999</v>
      </c>
    </row>
    <row r="18" spans="1:9" ht="14.4" customHeight="1" x14ac:dyDescent="0.3">
      <c r="C18">
        <v>2015</v>
      </c>
      <c r="D18" s="18">
        <f>(GETPIVOTDATA("TM2015",'Pivot 1'!$A$1))</f>
        <v>0.14610000000000001</v>
      </c>
      <c r="E18" s="18">
        <f>(GETPIVOTDATA("AR2015",'Pivot 1'!$A$1))</f>
        <v>0.38219999999999998</v>
      </c>
      <c r="F18" s="19">
        <f>(GETPIVOTDATA("NE2015",'Pivot 1'!$A$1))</f>
        <v>0.36799999999999999</v>
      </c>
      <c r="G18" s="20">
        <f>(GETPIVOTDATA("DK2015",'Pivot 1'!$A$1))</f>
        <v>0.1037</v>
      </c>
    </row>
    <row r="19" spans="1:9" ht="14.4" customHeight="1" x14ac:dyDescent="0.3">
      <c r="C19">
        <v>2016</v>
      </c>
      <c r="D19" s="18">
        <f>(GETPIVOTDATA("TM2016",'Pivot 1'!$A$1))</f>
        <v>0.1133</v>
      </c>
      <c r="E19" s="18">
        <f>(GETPIVOTDATA("AR2016",'Pivot 1'!$A$1))</f>
        <v>0.3523</v>
      </c>
      <c r="F19" s="19">
        <f>(GETPIVOTDATA("NE2016",'Pivot 1'!$A$1))</f>
        <v>0.38650000000000001</v>
      </c>
      <c r="G19" s="20">
        <f>(GETPIVOTDATA("DK2016",'Pivot 1'!$A$1))</f>
        <v>0.14779999999999999</v>
      </c>
    </row>
    <row r="20" spans="1:9" ht="14.4" customHeight="1" x14ac:dyDescent="0.3">
      <c r="C20">
        <v>2017</v>
      </c>
      <c r="D20" s="18">
        <f>(GETPIVOTDATA("TM2017",'Pivot 1'!$A$1))</f>
        <v>0.1052</v>
      </c>
      <c r="E20" s="18">
        <f>(GETPIVOTDATA("AR2017",'Pivot 1'!$A$1))</f>
        <v>0.36969999999999997</v>
      </c>
      <c r="F20" s="19">
        <f>(GETPIVOTDATA("NE2017",'Pivot 1'!$A$1))</f>
        <v>0.39290000000000003</v>
      </c>
      <c r="G20" s="20">
        <f>(GETPIVOTDATA("DK2017",'Pivot 1'!$A$1))</f>
        <v>0.13220000000000001</v>
      </c>
      <c r="H20" s="22"/>
    </row>
    <row r="21" spans="1:9" ht="14.4" customHeight="1" x14ac:dyDescent="0.3">
      <c r="C21">
        <v>2018</v>
      </c>
      <c r="D21" s="18">
        <f>(GETPIVOTDATA("TM2018",'Pivot 1'!$A$1))</f>
        <v>8.4000000000000005E-2</v>
      </c>
      <c r="E21" s="18">
        <f>(GETPIVOTDATA("AR2018",'Pivot 1'!$A$1))</f>
        <v>0.35349999999999998</v>
      </c>
      <c r="F21" s="19">
        <f>(GETPIVOTDATA("NE2018",'Pivot 1'!$A$1))</f>
        <v>0.39269999999999999</v>
      </c>
      <c r="G21" s="20">
        <f>(GETPIVOTDATA("DK2018",'Pivot 1'!$A$1))</f>
        <v>0.16969999999999999</v>
      </c>
    </row>
    <row r="22" spans="1:9" ht="14.4" customHeight="1" x14ac:dyDescent="0.3">
      <c r="C22">
        <v>2019</v>
      </c>
      <c r="D22" s="18">
        <f>(GETPIVOTDATA("TM2019",'Pivot 1'!$A$1))</f>
        <v>7.4099999999999999E-2</v>
      </c>
      <c r="E22" s="18">
        <f>(GETPIVOTDATA("AR2019",'Pivot 1'!$A$1))</f>
        <v>0.30759999999999998</v>
      </c>
      <c r="F22" s="19">
        <f>(GETPIVOTDATA("NE2019",'Pivot 1'!$A$1))</f>
        <v>0.46129999999999999</v>
      </c>
      <c r="G22" s="20">
        <f>(GETPIVOTDATA("DK2019",'Pivot 1'!$A$1))</f>
        <v>0.157</v>
      </c>
    </row>
    <row r="23" spans="1:9" ht="14.4" customHeight="1" x14ac:dyDescent="0.3">
      <c r="C23">
        <v>2020</v>
      </c>
      <c r="D23" s="18">
        <f>(GETPIVOTDATA("TM2020",'Pivot 1'!$A$1))</f>
        <v>7.1300000000000002E-2</v>
      </c>
      <c r="E23" s="18">
        <f>(GETPIVOTDATA("AR2020",'Pivot 1'!$A$1))</f>
        <v>0.32819999999999999</v>
      </c>
      <c r="F23" s="19">
        <f>(GETPIVOTDATA("NE2020",'Pivot 1'!$A$1))</f>
        <v>0.44240000000000002</v>
      </c>
      <c r="G23" s="20">
        <f>(GETPIVOTDATA("DK2020",'Pivot 1'!$A$1))</f>
        <v>0.15820000000000001</v>
      </c>
    </row>
    <row r="24" spans="1:9" ht="14.4" customHeight="1" x14ac:dyDescent="0.3">
      <c r="C24">
        <v>2021</v>
      </c>
      <c r="D24" s="18">
        <f>(GETPIVOTDATA("TM2021",'Pivot 1'!$A$1))</f>
        <v>5.4699999999999999E-2</v>
      </c>
      <c r="E24" s="18">
        <f>(GETPIVOTDATA("AR2021",'Pivot 1'!$A$1))</f>
        <v>0.34420000000000001</v>
      </c>
      <c r="F24" s="19">
        <f>(GETPIVOTDATA("NE2021",'Pivot 1'!$A$1))</f>
        <v>0.44929999999999998</v>
      </c>
      <c r="G24" s="20">
        <f>(GETPIVOTDATA("DK2021",'Pivot 1'!$A$1))</f>
        <v>0.1517</v>
      </c>
    </row>
    <row r="25" spans="1:9" ht="14.4" customHeight="1" x14ac:dyDescent="0.3">
      <c r="C25">
        <v>2022</v>
      </c>
      <c r="D25" s="18">
        <f>(GETPIVOTDATA("TM2022",'Pivot 1'!$A$1))</f>
        <v>5.6899999999999999E-2</v>
      </c>
      <c r="E25" s="18">
        <f>(GETPIVOTDATA("AR2022",'Pivot 1'!$A$1))</f>
        <v>0.30409999999999998</v>
      </c>
      <c r="F25" s="19">
        <f>(GETPIVOTDATA("NE2022",'Pivot 1'!$A$1))</f>
        <v>0.4551</v>
      </c>
      <c r="G25" s="20">
        <f>(GETPIVOTDATA("DK2022",'Pivot 1'!$A$1))</f>
        <v>0.18390000000000001</v>
      </c>
    </row>
    <row r="26" spans="1:9" ht="14.4" customHeight="1" x14ac:dyDescent="0.3">
      <c r="C26">
        <v>2023</v>
      </c>
      <c r="D26" s="18">
        <f>(GETPIVOTDATA("TM2023",'Pivot 1'!$A$1))</f>
        <v>7.032265526714844E-2</v>
      </c>
      <c r="E26" s="18">
        <f>(GETPIVOTDATA("AR2023",'Pivot 1'!$A$1))</f>
        <v>0.2757</v>
      </c>
      <c r="F26" s="19">
        <f>(GETPIVOTDATA("NE2023",'Pivot 1'!$A$1))</f>
        <v>0.4919906881821271</v>
      </c>
      <c r="G26" s="20">
        <f>(GETPIVOTDATA("DK2023",'Pivot 1'!$A$1))</f>
        <v>0.16201580035471</v>
      </c>
    </row>
    <row r="27" spans="1:9" ht="14.4" customHeight="1" x14ac:dyDescent="0.3">
      <c r="C27">
        <v>2024</v>
      </c>
      <c r="D27" s="18">
        <f>(GETPIVOTDATA("TM2024",'Pivot 1'!$A$1))</f>
        <v>8.8999999999999996E-2</v>
      </c>
      <c r="E27" s="18">
        <f>(GETPIVOTDATA("AR2024",'Pivot 1'!$A$1))</f>
        <v>0.29149999999999998</v>
      </c>
      <c r="F27" s="19">
        <f>(GETPIVOTDATA("NE2024",'Pivot 1'!$A$1))</f>
        <v>0.50329999999999997</v>
      </c>
      <c r="G27" s="20">
        <f>(GETPIVOTDATA("DK2024",'Pivot 1'!$A$1))</f>
        <v>0.1162</v>
      </c>
    </row>
    <row r="28" spans="1:9" ht="14.4" customHeight="1" x14ac:dyDescent="0.3"/>
    <row r="29" spans="1:9" x14ac:dyDescent="0.3">
      <c r="A29" s="42" t="s">
        <v>261</v>
      </c>
    </row>
    <row r="30" spans="1:9" ht="41.25" customHeight="1" x14ac:dyDescent="0.3">
      <c r="A30" s="3" t="str">
        <f>_xlfn.CONCAT($B$1, " ", "how much the government is doing to limit smoking ")</f>
        <v xml:space="preserve">Great Britain how much the government is doing to limit smoking </v>
      </c>
      <c r="B30" s="1">
        <f>(GETPIVOTDATA("Sum of Gov't activities to limit smoking (Too much)",'Pivot 1'!$A$1))</f>
        <v>8.8999999999999996E-2</v>
      </c>
      <c r="C30" s="1">
        <f>(GETPIVOTDATA("Sum of Gov't activities to limit smoking (Not enough)",'Pivot 1'!$A$1))</f>
        <v>0.50329999999999997</v>
      </c>
      <c r="D30" s="5">
        <f>(GETPIVOTDATA("Sum of Gov't activities to limit smoking (About Right or Not Enough)",'Pivot 1'!$A$1))</f>
        <v>0.79479999999999995</v>
      </c>
      <c r="E30" t="s">
        <v>15</v>
      </c>
      <c r="F30" t="s">
        <v>16</v>
      </c>
      <c r="G30" t="s">
        <v>31</v>
      </c>
      <c r="H30" s="3" t="str">
        <f>_xlfn.CONCAT(TEXT(D30,"0%"), " of adults in ", C1, " support current government action to limit smoking or think government should do more. Only ", TEXT(B30,"0%"), " think the government is doing too much while ", TEXT(C30,"0%"), " think the government should do more.")</f>
        <v>79% of adults in Great Britain support current government action to limit smoking or think government should do more. Only 9% think the government is doing too much while 50% think the government should do more.</v>
      </c>
      <c r="I30" s="3"/>
    </row>
    <row r="31" spans="1:9" ht="14.4" customHeight="1" x14ac:dyDescent="0.3">
      <c r="B31" s="1"/>
      <c r="C31" s="1"/>
      <c r="D31" s="5"/>
      <c r="I31" s="3"/>
    </row>
    <row r="32" spans="1:9" ht="13.8" customHeight="1" x14ac:dyDescent="0.3">
      <c r="A32" s="42" t="s">
        <v>260</v>
      </c>
      <c r="B32" s="1"/>
      <c r="C32" s="1"/>
      <c r="D32" s="5"/>
      <c r="I32" s="3"/>
    </row>
    <row r="33" spans="1:8" x14ac:dyDescent="0.3">
      <c r="A33" s="3" t="str">
        <f>_xlfn.CONCAT($B$1, " ", "support for a smokefree generation")</f>
        <v>Great Britain support for a smokefree generation</v>
      </c>
      <c r="B33" s="1">
        <f>(GETPIVOTDATA("Sum of smokefree gen (Support)",'Pivot 1'!$A$1))</f>
        <v>0.78069999999999995</v>
      </c>
      <c r="C33" s="1">
        <f>(GETPIVOTDATA("Sum of smokefree gen (Oppose)",'Pivot 1'!$A$1))</f>
        <v>6.9699999999999998E-2</v>
      </c>
      <c r="D33" s="5"/>
      <c r="E33" t="s">
        <v>5</v>
      </c>
      <c r="F33" t="s">
        <v>6</v>
      </c>
    </row>
    <row r="34" spans="1:8" ht="43.2" x14ac:dyDescent="0.3">
      <c r="A34" s="3" t="str">
        <f>_xlfn.CONCAT($B$1, " ", "support for a goal to make Britain a country where no one smokes")</f>
        <v>Great Britain support for a goal to make Britain a country where no one smokes</v>
      </c>
      <c r="B34" s="1">
        <f>(GETPIVOTDATA("Sum of GB noone smokes (Support)",'Pivot 1'!$A$1))</f>
        <v>0.73170000000000002</v>
      </c>
      <c r="C34" s="1">
        <f>(GETPIVOTDATA("Sum of GB noone smokes (Oppose)",'Pivot 1'!$A$1))</f>
        <v>0.1017</v>
      </c>
      <c r="D34" s="5"/>
      <c r="E34" t="s">
        <v>5</v>
      </c>
      <c r="F34" t="s">
        <v>6</v>
      </c>
      <c r="H34" s="8" t="str">
        <f>_xlfn.CONCAT(TEXT(B33,"0%")," of adults in ",C1," support the principle of creating a smokefree generation with just ",TEXT(C33,"0%")," opposed. Similarly, ",TEXT(B34,"0%")," of adults in ",C1," support a goal to make Britain a country where no one smokes, with only ",TEXT(C34,"0%")," opposed.[1]")</f>
        <v>78% of adults in Great Britain support the principle of creating a smokefree generation with just 7% opposed. Similarly, 73% of adults in Great Britain support a goal to make Britain a country where no one smokes, with only 10% opposed.[1]</v>
      </c>
    </row>
    <row r="35" spans="1:8" x14ac:dyDescent="0.3">
      <c r="B35" s="1"/>
      <c r="C35" s="1"/>
      <c r="D35" s="5"/>
      <c r="H35" s="8"/>
    </row>
    <row r="36" spans="1:8" x14ac:dyDescent="0.3">
      <c r="A36" s="42" t="s">
        <v>262</v>
      </c>
      <c r="B36" s="1"/>
      <c r="C36" s="1"/>
      <c r="D36" s="5"/>
      <c r="H36" s="8"/>
    </row>
    <row r="37" spans="1:8" ht="57.6" x14ac:dyDescent="0.3">
      <c r="A37" s="3" t="str">
        <f>_xlfn.CONCAT($B$1," ","support for raising the age of sale for tobacco for those born in 2009 or later by one year, every year, so it will never be legal to sell them tobacco")</f>
        <v>Great Britain support for raising the age of sale for tobacco for those born in 2009 or later by one year, every year, so it will never be legal to sell them tobacco</v>
      </c>
      <c r="B37" s="1">
        <f>(GETPIVOTDATA("Sum of ageup (Support)",'Pivot 1'!$A$1))</f>
        <v>0.69059999999999999</v>
      </c>
      <c r="C37" s="1">
        <f>(GETPIVOTDATA("Sum of ageup (Oppose)",'Pivot 1'!$A$1))</f>
        <v>0.1197</v>
      </c>
      <c r="D37" s="5"/>
      <c r="E37" t="s">
        <v>5</v>
      </c>
      <c r="F37" t="s">
        <v>6</v>
      </c>
      <c r="H37" s="3" t="str">
        <f>_xlfn.CONCAT(TEXT(B37,"0%")," of adults in ",C1," support increasing the age of sale for tobacco for those born in 2009 or later by one year, every year with ",TEXT(C37,"0%")," opposed. In the King’s Speech, the Labour Government committed to reintroducing the Tobacco and Vapes which would implement this policy.")</f>
        <v>69% of adults in Great Britain support increasing the age of sale for tobacco for those born in 2009 or later by one year, every year with 12% opposed. In the King’s Speech, the Labour Government committed to reintroducing the Tobacco and Vapes which would implement this policy.</v>
      </c>
    </row>
    <row r="38" spans="1:8" ht="57.6" x14ac:dyDescent="0.3">
      <c r="A38" s="3" t="str">
        <f>_xlfn.CONCAT($B$1," ","support for making it a legal requirement for retailers to check the ID of all people trying to purchase tobacco products")</f>
        <v>Great Britain support for making it a legal requirement for retailers to check the ID of all people trying to purchase tobacco products</v>
      </c>
      <c r="B38" s="1">
        <f>(GETPIVOTDATA("Sum of Mandatory age verification (Support)",'Pivot 1'!$A$1))</f>
        <v>0.71579999999999999</v>
      </c>
      <c r="C38" s="1">
        <f>(GETPIVOTDATA("Sum of Mandatory age verification (Oppose)",'Pivot 1'!$A$1))</f>
        <v>0.1095</v>
      </c>
      <c r="D38" s="5"/>
      <c r="E38" t="s">
        <v>5</v>
      </c>
      <c r="F38" t="s">
        <v>6</v>
      </c>
      <c r="H38" s="3" t="str">
        <f>_xlfn.CONCAT("If the legislation to raise the age of sale one year, every year is passed, every year there will be an increasing number of people over 18 who are not legally allowed to be sold cigarettes. In this case, ", TEXT(B38,"0%"), " of adults in ", C4,"support making it a legal requirement for retailers to check the ID of all people trying to purchase tobacco products to determine whether they are over the age limit, with ",TEXT(C38,"0%")," ","opposed.")</f>
        <v>If the legislation to raise the age of sale one year, every year is passed, every year there will be an increasing number of people over 18 who are not legally allowed to be sold cigarettes. In this case, 72% of adults in support making it a legal requirement for retailers to check the ID of all people trying to purchase tobacco products to determine whether they are over the age limit, with 11% opposed.</v>
      </c>
    </row>
    <row r="39" spans="1:8" x14ac:dyDescent="0.3">
      <c r="B39" s="1"/>
      <c r="C39" s="1"/>
      <c r="D39" s="5"/>
    </row>
    <row r="40" spans="1:8" x14ac:dyDescent="0.3">
      <c r="A40" s="42" t="s">
        <v>263</v>
      </c>
      <c r="B40" s="1"/>
      <c r="C40" s="1"/>
      <c r="D40" s="5"/>
    </row>
    <row r="41" spans="1:8" ht="38.25" customHeight="1" x14ac:dyDescent="0.3">
      <c r="A41" s="3" t="str">
        <f>_xlfn.CONCAT($B$1, " ", "support for requiring tobacco manufacturers to pay a levy to government")</f>
        <v>Great Britain support for requiring tobacco manufacturers to pay a levy to government</v>
      </c>
      <c r="B41" s="1">
        <f>(GETPIVOTDATA("Sum of  Requiring tobacco manufacturers to pay a levy to government (Support)",'Pivot 1'!$A$1))</f>
        <v>0.79390000000000005</v>
      </c>
      <c r="C41" s="1">
        <f>(GETPIVOTDATA("Sum of  Requiring tobacco manufacturers to pay a levy to government (Oppose)",'Pivot 1'!$A$1))</f>
        <v>5.4800000000000001E-2</v>
      </c>
      <c r="D41" s="5"/>
      <c r="E41" t="s">
        <v>5</v>
      </c>
      <c r="F41" t="s">
        <v>6</v>
      </c>
      <c r="H41" s="3" t="str">
        <f>_xlfn.CONCAT(TEXT(B41,"0%")," of adults in ",C1," support tobacco manufacturers being required to pay a levy to government for measures to help smokers quit and prevent young people from taking up smoking, with "," ",TEXT(C41,"0%")," opposed.")</f>
        <v>79% of adults in Great Britain support tobacco manufacturers being required to pay a levy to government for measures to help smokers quit and prevent young people from taking up smoking, with  5% opposed.</v>
      </c>
    </row>
    <row r="42" spans="1:8" ht="28.8" x14ac:dyDescent="0.3">
      <c r="A42" s="3" t="str">
        <f>_xlfn.CONCAT($B$1, " ", "support for tobacco retail licensing")</f>
        <v>Great Britain support for tobacco retail licensing</v>
      </c>
      <c r="B42" s="1">
        <f>(GETPIVOTDATA("Sum of Requiring businesses to have a valid licence to sell tobacco (Support)",'Pivot 1'!$A$1))</f>
        <v>0.86060000000000003</v>
      </c>
      <c r="C42" s="1">
        <f>(GETPIVOTDATA("Sum of Requiring businesses to have a valid licence to sell tobacco (Oppose)",'Pivot 1'!$A$1))</f>
        <v>3.5999999999999997E-2</v>
      </c>
      <c r="D42" s="5"/>
      <c r="E42" t="s">
        <v>5</v>
      </c>
      <c r="F42" t="s">
        <v>6</v>
      </c>
      <c r="H42" s="3" t="str">
        <f>_xlfn.CONCAT(TEXT(B42,"0%")," of adults in"," ",C1," support the introduction of a licence to sell tobacco which can be removed if retailers are caught more than once selling to underage smokers, with ",TEXT(C42,"0%")," opposed.")</f>
        <v>86% of adults in Great Britain support the introduction of a licence to sell tobacco which can be removed if retailers are caught more than once selling to underage smokers, with 4% opposed.</v>
      </c>
    </row>
    <row r="43" spans="1:8" ht="43.2" x14ac:dyDescent="0.3">
      <c r="A43" s="3" t="str">
        <f>_xlfn.CONCAT($B$1, " ", "support for cigarette packs to include inserts with government info about quitting")</f>
        <v>Great Britain support for cigarette packs to include inserts with government info about quitting</v>
      </c>
      <c r="B43" s="1">
        <f>(GETPIVOTDATA("Sum of Require cigarette packs to include inserts with government information about quitting (Support)",'Pivot 1'!$A$1))</f>
        <v>0.71389999999999998</v>
      </c>
      <c r="C43" s="1">
        <f>(GETPIVOTDATA("Sum of Require cigarette packs to include inserts with government information about quitting (Oppose)",'Pivot 1'!$A$1))</f>
        <v>7.2400000000000006E-2</v>
      </c>
      <c r="D43" s="5"/>
      <c r="E43" t="s">
        <v>5</v>
      </c>
      <c r="F43" t="s">
        <v>6</v>
      </c>
      <c r="H43" s="3" t="str">
        <f>_xlfn.CONCAT(TEXT(B43,"0%"), " of adults in ",C1," ","support requiring cigarette packs to include inserts with government mandated information about quitting, with ",TEXT(C43,"0%")," opposed. UK research shows use of such inserts is supported by smokers diverse in age, gender, and social grade.")</f>
        <v>71% of adults in Great Britain support requiring cigarette packs to include inserts with government mandated information about quitting, with 7% opposed. UK research shows use of such inserts is supported by smokers diverse in age, gender, and social grade.</v>
      </c>
    </row>
    <row r="44" spans="1:8" ht="28.8" x14ac:dyDescent="0.3">
      <c r="A44" s="3" t="str">
        <f>_xlfn.CONCAT($B$1," ","support for printing health warnings on cigarette sticks to encourage smokers to quit")</f>
        <v>Great Britain support for printing health warnings on cigarette sticks to encourage smokers to quit</v>
      </c>
      <c r="B44" s="1">
        <f>(GETPIVOTDATA("Sum of Health warnings printed on cigarette sticks to encourage smokers to quit (Support)",'Pivot 1'!$A$1))</f>
        <v>0.70299999999999996</v>
      </c>
      <c r="C44" s="1">
        <f>(GETPIVOTDATA("Sum of Health warnings printed on cigarette sticks to encourage smokers to quit (Oppose)",'Pivot 1'!$A$1))</f>
        <v>8.1900000000000001E-2</v>
      </c>
      <c r="D44" s="5"/>
      <c r="E44" t="s">
        <v>5</v>
      </c>
      <c r="F44" t="s">
        <v>6</v>
      </c>
      <c r="H44" s="3" t="str">
        <f>_xlfn.CONCAT(TEXT(B44,"0%"), " of adults in ",C1," ","support health warnings being printed on cigarette sticks to encourage smokers to quit, with ",TEXT(C44,"0%")," ","opposed.")</f>
        <v>70% of adults in Great Britain support health warnings being printed on cigarette sticks to encourage smokers to quit, with 8% opposed.</v>
      </c>
    </row>
    <row r="45" spans="1:8" ht="43.2" x14ac:dyDescent="0.3">
      <c r="A45" s="3" t="str">
        <f>_xlfn.CONCAT($B$1," ","support for providing financial incentives to help pregnant women stop smoking")</f>
        <v>Great Britain support for providing financial incentives to help pregnant women stop smoking</v>
      </c>
      <c r="B45" s="1">
        <f>(GETPIVOTDATA("Sum of financial incentives for pregnant women (Support)",'Pivot 1'!$A$1))</f>
        <v>0.53269999999999995</v>
      </c>
      <c r="C45" s="1">
        <f>(GETPIVOTDATA("Sum of financial incentives for pregnant women (Oppose)",'Pivot 1'!$A$1))</f>
        <v>0.24660000000000001</v>
      </c>
      <c r="D45" s="5"/>
      <c r="E45" t="s">
        <v>5</v>
      </c>
      <c r="F45" t="s">
        <v>6</v>
      </c>
      <c r="H45" s="3" t="str">
        <f>_xlfn.CONCAT("More adults in ",C1," support providing financial incentives to pregnant smokers than oppose. Incentives are highly cost effective and are being implemented by the NHS in England in line with NICE guidance. [2]")</f>
        <v>More adults in Great Britain support providing financial incentives to pregnant smokers than oppose. Incentives are highly cost effective and are being implemented by the NHS in England in line with NICE guidance. [2]</v>
      </c>
    </row>
    <row r="46" spans="1:8" ht="14.4" customHeight="1" x14ac:dyDescent="0.3">
      <c r="B46" s="1"/>
      <c r="C46" s="1"/>
      <c r="D46" s="5"/>
    </row>
    <row r="47" spans="1:8" ht="15" customHeight="1" x14ac:dyDescent="0.3">
      <c r="A47" s="42" t="s">
        <v>259</v>
      </c>
      <c r="B47" s="1"/>
      <c r="C47" s="1"/>
      <c r="D47" s="5"/>
    </row>
    <row r="48" spans="1:8" ht="28.8" x14ac:dyDescent="0.3">
      <c r="A48" s="3" t="str">
        <f>_xlfn.CONCAT($B$1," ","support for banning the sale and import of disposable vapes (e-cigarettes)")</f>
        <v>Great Britain support for banning the sale and import of disposable vapes (e-cigarettes)</v>
      </c>
      <c r="B48" s="1">
        <f>(GETPIVOTDATA("Sum of Ban sale and import of disposables (Support)",'Pivot 1'!$A$1))</f>
        <v>0.80489999999999995</v>
      </c>
      <c r="C48" s="1">
        <f>(GETPIVOTDATA("Sum of Ban sale and import of disposables (Oppose)",'Pivot 1'!$A$1))</f>
        <v>6.7100000000000007E-2</v>
      </c>
      <c r="D48" s="5"/>
      <c r="E48" t="s">
        <v>5</v>
      </c>
      <c r="F48" t="s">
        <v>6</v>
      </c>
      <c r="H48" s="3" t="str">
        <f>_xlfn.CONCAT(TEXT(B48,"0%"), " of adults in ",C6," ","support banning the sale and import of disposable vapes (e-cigarettes), with ",TEXT(C48,"0%")," ","opposed.")</f>
        <v>80% of adults in  support banning the sale and import of disposable vapes (e-cigarettes), with 7% opposed.</v>
      </c>
    </row>
    <row r="49" spans="1:8" ht="28.8" x14ac:dyDescent="0.3">
      <c r="A49" s="3" t="str">
        <f>_xlfn.CONCAT($B$1, " ", "support for banning names of sweets, cartoons and bright colours on vape packaging")</f>
        <v>Great Britain support for banning names of sweets, cartoons and bright colours on vape packaging</v>
      </c>
      <c r="B49" s="1">
        <f>(GETPIVOTDATA("Sum of Banning names of sweets, cartoons, and bright colours on e-cigarette packaging (Support)",'Pivot 1'!$A$1))</f>
        <v>0.81950000000000001</v>
      </c>
      <c r="C49" s="1">
        <f>(GETPIVOTDATA("Sum of Banning names of sweets, cartoons, and bright colours on e-cigarette packaging (Oppose)",'Pivot 1'!$A$1))</f>
        <v>4.7100000000000003E-2</v>
      </c>
      <c r="D49" s="5"/>
      <c r="E49" t="s">
        <v>5</v>
      </c>
      <c r="F49" t="s">
        <v>6</v>
      </c>
      <c r="H49" s="3" t="str">
        <f>_xlfn.CONCAT(TEXT(B49,"0%"), " of adults in ",C1," ","support banning names of sweets, cartoons and bright colours on vape packaging, with ",TEXT(C49,"0%")," ","opposed.")</f>
        <v>82% of adults in Great Britain support banning names of sweets, cartoons and bright colours on vape packaging, with 5% opposed.</v>
      </c>
    </row>
    <row r="50" spans="1:8" ht="47.4" customHeight="1" x14ac:dyDescent="0.3">
      <c r="A50" s="3" t="str">
        <f>_xlfn.CONCAT($B$1," ","support for banning advertising and promotion of vapes (e-cigarettes) at point of sale")</f>
        <v>Great Britain support for banning advertising and promotion of vapes (e-cigarettes) at point of sale</v>
      </c>
      <c r="B50" s="1">
        <f>(GETPIVOTDATA("Sum of pos advertising ban (Support)",'Pivot 1'!$A$1))</f>
        <v>0.81110000000000004</v>
      </c>
      <c r="C50" s="1">
        <f>(GETPIVOTDATA("Sum of pos advertising ban (Oppose)",'Pivot 1'!$A$1))</f>
        <v>4.8399999999999999E-2</v>
      </c>
      <c r="D50" s="5"/>
      <c r="E50" t="s">
        <v>5</v>
      </c>
      <c r="F50" t="s">
        <v>6</v>
      </c>
      <c r="H50" s="3" t="str">
        <f>_xlfn.CONCAT(TEXT(B50,"0%")," of adults in ",C1," support a ban on point of sale promotion of vapes, with"," ",TEXT(C50,"0%")," opposed. Point of sale promotion includes at the till, in store and as people enter shops. In 2024 72% of British 11-17 year olds who are aware of vapes reported seeing them promoted, most frequently in shops. [3]")</f>
        <v>81% of adults in Great Britain support a ban on point of sale promotion of vapes, with 5% opposed. Point of sale promotion includes at the till, in store and as people enter shops. In 2024 72% of British 11-17 year olds who are aware of vapes reported seeing them promoted, most frequently in shops. [3]</v>
      </c>
    </row>
    <row r="51" spans="1:8" x14ac:dyDescent="0.3">
      <c r="B51" s="1"/>
      <c r="C51" s="1"/>
      <c r="D51" s="5"/>
    </row>
    <row r="52" spans="1:8" x14ac:dyDescent="0.3">
      <c r="A52" s="42" t="s">
        <v>264</v>
      </c>
      <c r="B52" s="1"/>
      <c r="C52" s="1"/>
      <c r="D52" s="5"/>
    </row>
    <row r="53" spans="1:8" ht="57.6" x14ac:dyDescent="0.3">
      <c r="A53" s="3" t="str">
        <f>_xlfn.CONCAT($B$1," ","support for organisations submitting evidence to government and parliamentary committees should be required to declare who they get their funding from")</f>
        <v>Great Britain support for organisations submitting evidence to government and parliamentary committees should be required to declare who they get their funding from</v>
      </c>
      <c r="B53" s="1">
        <f>(GETPIVOTDATA("Sum of declare (Support)",'Pivot 1'!$A$1))</f>
        <v>0.87670000000000003</v>
      </c>
      <c r="C53" s="1">
        <f>(GETPIVOTDATA("Sum of declare (Oppose)",'Pivot 1'!$A$1))</f>
        <v>7.1000000000000004E-3</v>
      </c>
      <c r="D53" s="5"/>
      <c r="E53" t="s">
        <v>5</v>
      </c>
      <c r="F53" t="s">
        <v>6</v>
      </c>
      <c r="H53" s="3" t="str">
        <f>_xlfn.CONCAT("There is overwhelming support in ",B1, " for requiring people giving evidence to government to be required to declare who they are funded by ",TEXT(B53,"(0%"),", with just ",TEXT(C53,"0%")," opposed).")</f>
        <v>There is overwhelming support in Great Britain for requiring people giving evidence to government to be required to declare who they are funded by (88%, with just 1% opposed).</v>
      </c>
    </row>
    <row r="54" spans="1:8" ht="43.2" x14ac:dyDescent="0.3">
      <c r="A54" s="3" t="str">
        <f>_xlfn.CONCAT($B$1," ","support for Government health policy being protected from the influence of the tobacco industry and its representatives")</f>
        <v>Great Britain support for Government health policy being protected from the influence of the tobacco industry and its representatives</v>
      </c>
      <c r="B54" s="1">
        <f>(GETPIVOTDATA("Sum of protected from industry (Support)",'Pivot 1'!$A$1))</f>
        <v>0.78449999999999998</v>
      </c>
      <c r="C54" s="1">
        <f>(GETPIVOTDATA("Sum of protected from industry (Oppose)",'Pivot 1'!$A$1))</f>
        <v>2.1399999999999999E-2</v>
      </c>
      <c r="D54" s="5"/>
      <c r="E54" t="s">
        <v>5</v>
      </c>
      <c r="F54" t="s">
        <v>6</v>
      </c>
      <c r="H54" s="3" t="str">
        <f>_xlfn.CONCAT(TEXT(B54,"0%"), " of adults in ",B2, "want the government to be protected from the influence of the tobacco industry and its representatives, with ",TEXT(C54,"0%")," opposed.")</f>
        <v>78% of adults in want the government to be protected from the influence of the tobacco industry and its representatives, with 2% opposed.</v>
      </c>
    </row>
    <row r="55" spans="1:8" x14ac:dyDescent="0.3">
      <c r="B55" s="1"/>
      <c r="C55" s="1"/>
      <c r="D55" s="5"/>
    </row>
    <row r="56" spans="1:8" x14ac:dyDescent="0.3">
      <c r="B56" s="1"/>
      <c r="C56" s="1"/>
      <c r="D56" s="5"/>
    </row>
    <row r="57" spans="1:8" x14ac:dyDescent="0.3">
      <c r="B57" s="1"/>
      <c r="C57" s="1"/>
      <c r="D57" s="5"/>
    </row>
    <row r="58" spans="1:8" x14ac:dyDescent="0.3">
      <c r="B58" s="1"/>
      <c r="C58" s="1"/>
      <c r="D58" s="5"/>
    </row>
    <row r="59" spans="1:8" x14ac:dyDescent="0.3">
      <c r="B59" s="1"/>
      <c r="C59" s="1"/>
      <c r="D59" s="5"/>
    </row>
    <row r="60" spans="1:8" x14ac:dyDescent="0.3">
      <c r="A60" s="42" t="s">
        <v>265</v>
      </c>
      <c r="B60" s="1"/>
      <c r="C60" s="1"/>
      <c r="D60" s="1"/>
    </row>
    <row r="61" spans="1:8" x14ac:dyDescent="0.3">
      <c r="A61" s="3" t="s">
        <v>229</v>
      </c>
      <c r="B61" t="s">
        <v>187</v>
      </c>
      <c r="C61" t="s">
        <v>186</v>
      </c>
      <c r="H61" s="3" t="str">
        <f>_xlfn.CONCAT("Opinions in ", C1," about smoking bans in different locations")</f>
        <v>Opinions in Great Britain about smoking bans in different locations</v>
      </c>
    </row>
    <row r="62" spans="1:8" x14ac:dyDescent="0.3">
      <c r="A62" s="3" t="s">
        <v>177</v>
      </c>
      <c r="B62" s="21">
        <f>(GETPIVOTDATA("Sum of Restaurant pub café smoking ban (Support)",'Pivot 1'!$A$1))</f>
        <v>0.65739999999999998</v>
      </c>
      <c r="C62" s="21">
        <f>(GETPIVOTDATA("Sum of Restaurant pub café smoking ban (Oppose)",'Pivot 1'!$A$1))</f>
        <v>0.1855</v>
      </c>
    </row>
    <row r="63" spans="1:8" ht="57.6" x14ac:dyDescent="0.3">
      <c r="A63" s="3" t="s">
        <v>268</v>
      </c>
      <c r="B63" s="21">
        <f>(GETPIVOTDATA("Sum of Smoking should be banned in all public transport waiting areas (Support)",'Pivot 1'!$A$1))</f>
        <v>0.80989999999999995</v>
      </c>
      <c r="C63" s="21">
        <f>(GETPIVOTDATA("Sum of Smoking should be banned in all public transport waiting areas (Oppose)",'Pivot 1'!$A$1))</f>
        <v>8.2100000000000006E-2</v>
      </c>
      <c r="G63" s="5"/>
      <c r="H63" s="3" t="str">
        <f>_xlfn.CONCAT("There is majority support in ", C1," for banning smoking in a range of outdoor areas. The highest level of support, ", TEXT(B63,"0%"), ", is for a smoking ban in all public transport waiting areas. Previous years show that there are also high levels of support for banning smoking at sports stadiums, childrens' sports and play areas, beaches and parks.")</f>
        <v>There is majority support in Great Britain for banning smoking in a range of outdoor areas. The highest level of support, 81%, is for a smoking ban in all public transport waiting areas. Previous years show that there are also high levels of support for banning smoking at sports stadiums, childrens' sports and play areas, beaches and parks.</v>
      </c>
    </row>
    <row r="64" spans="1:8" x14ac:dyDescent="0.3">
      <c r="A64" s="3" t="s">
        <v>174</v>
      </c>
      <c r="B64" s="21">
        <f>(GETPIVOTDATA("Sum of Smoking should be banned on university and college campuses (Support)",'Pivot 1'!$A$1))</f>
        <v>0.70250000000000001</v>
      </c>
      <c r="C64" s="21">
        <f>(GETPIVOTDATA("Sum of Smoking should be banned on university and college campuses (Oppose)",'Pivot 1'!$A$1))</f>
        <v>0.1265</v>
      </c>
    </row>
    <row r="65" spans="1:3" x14ac:dyDescent="0.3">
      <c r="A65" s="3" t="s">
        <v>204</v>
      </c>
      <c r="B65" s="21">
        <f>(GETPIVOTDATA("Sum of Smoking should be banned in further education colleges (Support)",'Pivot 1'!$A$1))</f>
        <v>0.73529999999999995</v>
      </c>
      <c r="C65" s="21">
        <f>(GETPIVOTDATA("Sum of Smoking should be banned in further education colleges (Oppose)",'Pivot 1'!$A$1))</f>
        <v>0.1096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C8C5D-D306-4845-9CD8-16C0C7C73A9D}">
  <sheetPr codeName="Sheet1"/>
  <dimension ref="A1:DL3"/>
  <sheetViews>
    <sheetView workbookViewId="0"/>
  </sheetViews>
  <sheetFormatPr defaultRowHeight="14.4" x14ac:dyDescent="0.3"/>
  <cols>
    <col min="1" max="1" width="12.6640625" bestFit="1" customWidth="1"/>
    <col min="2" max="3" width="13.88671875" bestFit="1" customWidth="1"/>
    <col min="4" max="4" width="14.33203125" bestFit="1" customWidth="1"/>
    <col min="5" max="5" width="13.88671875" bestFit="1" customWidth="1"/>
    <col min="6" max="6" width="17.33203125" bestFit="1" customWidth="1"/>
    <col min="7" max="7" width="44.6640625" bestFit="1" customWidth="1"/>
    <col min="8" max="8" width="46.33203125" bestFit="1" customWidth="1"/>
    <col min="9" max="9" width="59.33203125" bestFit="1" customWidth="1"/>
    <col min="10" max="10" width="46.33203125" bestFit="1" customWidth="1"/>
    <col min="11" max="11" width="59.44140625" bestFit="1" customWidth="1"/>
    <col min="12" max="12" width="59.109375" bestFit="1" customWidth="1"/>
    <col min="13" max="13" width="66.21875" bestFit="1" customWidth="1"/>
    <col min="14" max="14" width="65.88671875" bestFit="1" customWidth="1"/>
    <col min="15" max="15" width="70.33203125" bestFit="1" customWidth="1"/>
    <col min="16" max="16" width="70" bestFit="1" customWidth="1"/>
    <col min="17" max="17" width="90.21875" bestFit="1" customWidth="1"/>
    <col min="18" max="18" width="84.5546875" bestFit="1" customWidth="1"/>
    <col min="19" max="19" width="89.88671875" bestFit="1" customWidth="1"/>
    <col min="20" max="20" width="78.21875" bestFit="1" customWidth="1"/>
    <col min="21" max="21" width="77.88671875" bestFit="1" customWidth="1"/>
    <col min="22" max="22" width="84.88671875" bestFit="1" customWidth="1"/>
    <col min="23" max="35" width="14.33203125" bestFit="1" customWidth="1"/>
    <col min="36" max="74" width="13.88671875" bestFit="1" customWidth="1"/>
    <col min="75" max="75" width="45" bestFit="1" customWidth="1"/>
    <col min="76" max="76" width="44.6640625" bestFit="1" customWidth="1"/>
    <col min="77" max="77" width="14.33203125" bestFit="1" customWidth="1"/>
    <col min="78" max="80" width="13.88671875" bestFit="1" customWidth="1"/>
    <col min="81" max="81" width="64.6640625" bestFit="1" customWidth="1"/>
    <col min="82" max="82" width="64.33203125" bestFit="1" customWidth="1"/>
    <col min="83" max="83" width="32.88671875" bestFit="1" customWidth="1"/>
    <col min="84" max="84" width="32.5546875" bestFit="1" customWidth="1"/>
    <col min="85" max="85" width="70.21875" bestFit="1" customWidth="1"/>
    <col min="86" max="86" width="70.6640625" bestFit="1" customWidth="1"/>
    <col min="87" max="87" width="21.5546875" bestFit="1" customWidth="1"/>
    <col min="88" max="88" width="21.109375" bestFit="1" customWidth="1"/>
    <col min="89" max="89" width="22.44140625" bestFit="1" customWidth="1"/>
    <col min="90" max="90" width="22.109375" bestFit="1" customWidth="1"/>
    <col min="91" max="91" width="50.88671875" bestFit="1" customWidth="1"/>
    <col min="92" max="92" width="50.5546875" bestFit="1" customWidth="1"/>
    <col min="93" max="93" width="14.33203125" bestFit="1" customWidth="1"/>
    <col min="94" max="96" width="13.88671875" bestFit="1" customWidth="1"/>
    <col min="97" max="97" width="29.109375" bestFit="1" customWidth="1"/>
    <col min="98" max="98" width="28.77734375" bestFit="1" customWidth="1"/>
    <col min="99" max="99" width="31.5546875" bestFit="1" customWidth="1"/>
    <col min="100" max="100" width="31.21875" bestFit="1" customWidth="1"/>
    <col min="101" max="101" width="39.5546875" bestFit="1" customWidth="1"/>
    <col min="102" max="102" width="39.21875" bestFit="1" customWidth="1"/>
    <col min="103" max="103" width="46" bestFit="1" customWidth="1"/>
    <col min="104" max="104" width="45.5546875" bestFit="1" customWidth="1"/>
    <col min="105" max="105" width="70" bestFit="1" customWidth="1"/>
    <col min="106" max="106" width="69.6640625" bestFit="1" customWidth="1"/>
    <col min="107" max="107" width="36.77734375" bestFit="1" customWidth="1"/>
    <col min="108" max="108" width="36.44140625" bestFit="1" customWidth="1"/>
    <col min="109" max="109" width="31.5546875" bestFit="1" customWidth="1"/>
    <col min="110" max="110" width="31.21875" bestFit="1" customWidth="1"/>
    <col min="111" max="111" width="39.5546875" bestFit="1" customWidth="1"/>
    <col min="112" max="112" width="39.21875" bestFit="1" customWidth="1"/>
    <col min="113" max="113" width="46" bestFit="1" customWidth="1"/>
    <col min="114" max="114" width="45.5546875" bestFit="1" customWidth="1"/>
    <col min="115" max="115" width="39.5546875" bestFit="1" customWidth="1"/>
    <col min="116" max="116" width="39.21875" bestFit="1" customWidth="1"/>
    <col min="117" max="188" width="16.33203125" bestFit="1" customWidth="1"/>
    <col min="189" max="190" width="11.33203125" bestFit="1" customWidth="1"/>
    <col min="191" max="191" width="9.44140625" bestFit="1" customWidth="1"/>
    <col min="192" max="192" width="11.5546875" bestFit="1" customWidth="1"/>
    <col min="193" max="193" width="9.44140625" bestFit="1" customWidth="1"/>
    <col min="194" max="194" width="11.5546875" bestFit="1" customWidth="1"/>
    <col min="195" max="195" width="9.44140625" bestFit="1" customWidth="1"/>
    <col min="196" max="196" width="11.5546875" bestFit="1" customWidth="1"/>
    <col min="197" max="197" width="9.44140625" bestFit="1" customWidth="1"/>
    <col min="198" max="198" width="11.5546875" bestFit="1" customWidth="1"/>
    <col min="199" max="199" width="9.44140625" bestFit="1" customWidth="1"/>
    <col min="200" max="200" width="11.5546875" bestFit="1" customWidth="1"/>
    <col min="201" max="201" width="9.44140625" bestFit="1" customWidth="1"/>
    <col min="202" max="202" width="11.5546875" bestFit="1" customWidth="1"/>
    <col min="203" max="203" width="9.44140625" bestFit="1" customWidth="1"/>
    <col min="204" max="204" width="11.5546875" bestFit="1" customWidth="1"/>
    <col min="205" max="205" width="9.44140625" bestFit="1" customWidth="1"/>
    <col min="206" max="206" width="11.5546875" bestFit="1" customWidth="1"/>
    <col min="207" max="207" width="9.44140625" bestFit="1" customWidth="1"/>
    <col min="208" max="208" width="11.5546875" bestFit="1" customWidth="1"/>
    <col min="209" max="209" width="9.44140625" bestFit="1" customWidth="1"/>
    <col min="210" max="210" width="11.5546875" bestFit="1" customWidth="1"/>
    <col min="211" max="211" width="9.44140625" bestFit="1" customWidth="1"/>
    <col min="212" max="212" width="11.5546875" bestFit="1" customWidth="1"/>
    <col min="213" max="213" width="9.44140625" bestFit="1" customWidth="1"/>
    <col min="214" max="214" width="11.5546875" bestFit="1" customWidth="1"/>
    <col min="215" max="215" width="9.44140625" bestFit="1" customWidth="1"/>
    <col min="216" max="216" width="11.5546875" bestFit="1" customWidth="1"/>
    <col min="217" max="217" width="9.44140625" bestFit="1" customWidth="1"/>
    <col min="218" max="218" width="11.5546875" bestFit="1" customWidth="1"/>
    <col min="219" max="219" width="9.44140625" bestFit="1" customWidth="1"/>
    <col min="220" max="220" width="11.5546875" bestFit="1" customWidth="1"/>
    <col min="221" max="221" width="9.44140625" bestFit="1" customWidth="1"/>
    <col min="222" max="222" width="11.5546875" bestFit="1" customWidth="1"/>
    <col min="223" max="223" width="9.44140625" bestFit="1" customWidth="1"/>
    <col min="224" max="224" width="11.5546875" bestFit="1" customWidth="1"/>
    <col min="225" max="225" width="9.44140625" bestFit="1" customWidth="1"/>
    <col min="226" max="226" width="11.5546875" bestFit="1" customWidth="1"/>
    <col min="227" max="227" width="9.44140625" bestFit="1" customWidth="1"/>
    <col min="228" max="228" width="11.5546875" bestFit="1" customWidth="1"/>
    <col min="229" max="229" width="9.44140625" bestFit="1" customWidth="1"/>
    <col min="230" max="230" width="11.5546875" bestFit="1" customWidth="1"/>
    <col min="231" max="231" width="8.33203125" bestFit="1" customWidth="1"/>
    <col min="232" max="232" width="10.5546875" bestFit="1" customWidth="1"/>
    <col min="233" max="233" width="9.44140625" bestFit="1" customWidth="1"/>
    <col min="234" max="234" width="11.5546875" bestFit="1" customWidth="1"/>
    <col min="235" max="235" width="9.44140625" bestFit="1" customWidth="1"/>
    <col min="236" max="236" width="11.5546875" bestFit="1" customWidth="1"/>
    <col min="237" max="237" width="9.44140625" bestFit="1" customWidth="1"/>
    <col min="238" max="238" width="11.5546875" bestFit="1" customWidth="1"/>
    <col min="239" max="239" width="9.44140625" bestFit="1" customWidth="1"/>
    <col min="240" max="240" width="11.5546875" bestFit="1" customWidth="1"/>
    <col min="241" max="241" width="8.33203125" bestFit="1" customWidth="1"/>
    <col min="242" max="242" width="10.5546875" bestFit="1" customWidth="1"/>
    <col min="243" max="243" width="9.44140625" bestFit="1" customWidth="1"/>
    <col min="244" max="244" width="11.5546875" bestFit="1" customWidth="1"/>
    <col min="245" max="245" width="9.44140625" bestFit="1" customWidth="1"/>
    <col min="246" max="246" width="11.5546875" bestFit="1" customWidth="1"/>
    <col min="247" max="247" width="9.44140625" bestFit="1" customWidth="1"/>
    <col min="248" max="248" width="11.5546875" bestFit="1" customWidth="1"/>
    <col min="249" max="249" width="9.44140625" bestFit="1" customWidth="1"/>
    <col min="250" max="250" width="11.5546875" bestFit="1" customWidth="1"/>
    <col min="251" max="251" width="9.44140625" bestFit="1" customWidth="1"/>
    <col min="252" max="252" width="11.5546875" bestFit="1" customWidth="1"/>
    <col min="253" max="253" width="9.44140625" bestFit="1" customWidth="1"/>
    <col min="254" max="254" width="11.5546875" bestFit="1" customWidth="1"/>
    <col min="255" max="255" width="9.44140625" bestFit="1" customWidth="1"/>
    <col min="256" max="256" width="11.5546875" bestFit="1" customWidth="1"/>
    <col min="257" max="257" width="9.44140625" bestFit="1" customWidth="1"/>
    <col min="258" max="258" width="11.5546875" bestFit="1" customWidth="1"/>
    <col min="259" max="259" width="9.44140625" bestFit="1" customWidth="1"/>
    <col min="260" max="260" width="11.5546875" bestFit="1" customWidth="1"/>
    <col min="261" max="261" width="9.44140625" bestFit="1" customWidth="1"/>
    <col min="262" max="262" width="11.5546875" bestFit="1" customWidth="1"/>
    <col min="263" max="263" width="9.44140625" bestFit="1" customWidth="1"/>
    <col min="264" max="264" width="11.5546875" bestFit="1" customWidth="1"/>
    <col min="265" max="265" width="9.44140625" bestFit="1" customWidth="1"/>
    <col min="266" max="266" width="11.5546875" bestFit="1" customWidth="1"/>
    <col min="267" max="267" width="9.44140625" bestFit="1" customWidth="1"/>
    <col min="268" max="268" width="11.5546875" bestFit="1" customWidth="1"/>
    <col min="269" max="269" width="9.44140625" bestFit="1" customWidth="1"/>
    <col min="270" max="270" width="11.5546875" bestFit="1" customWidth="1"/>
    <col min="271" max="271" width="9.44140625" bestFit="1" customWidth="1"/>
    <col min="272" max="272" width="11.5546875" bestFit="1" customWidth="1"/>
    <col min="273" max="273" width="9.44140625" bestFit="1" customWidth="1"/>
    <col min="274" max="274" width="11.5546875" bestFit="1" customWidth="1"/>
    <col min="275" max="275" width="9.44140625" bestFit="1" customWidth="1"/>
    <col min="276" max="276" width="11.5546875" bestFit="1" customWidth="1"/>
    <col min="277" max="277" width="8.33203125" bestFit="1" customWidth="1"/>
    <col min="278" max="278" width="10.5546875" bestFit="1" customWidth="1"/>
    <col min="279" max="279" width="9.44140625" bestFit="1" customWidth="1"/>
    <col min="280" max="280" width="11.5546875" bestFit="1" customWidth="1"/>
    <col min="281" max="281" width="9.44140625" bestFit="1" customWidth="1"/>
    <col min="282" max="282" width="11.5546875" bestFit="1" customWidth="1"/>
    <col min="283" max="283" width="8.33203125" bestFit="1" customWidth="1"/>
    <col min="284" max="284" width="10.5546875" bestFit="1" customWidth="1"/>
    <col min="285" max="285" width="9.44140625" bestFit="1" customWidth="1"/>
    <col min="286" max="286" width="11.5546875" bestFit="1" customWidth="1"/>
    <col min="287" max="287" width="9.44140625" bestFit="1" customWidth="1"/>
    <col min="288" max="288" width="11.5546875" bestFit="1" customWidth="1"/>
    <col min="289" max="289" width="8.33203125" bestFit="1" customWidth="1"/>
    <col min="290" max="290" width="10.5546875" bestFit="1" customWidth="1"/>
    <col min="291" max="291" width="9.44140625" bestFit="1" customWidth="1"/>
    <col min="292" max="292" width="11.5546875" bestFit="1" customWidth="1"/>
    <col min="293" max="293" width="8.33203125" bestFit="1" customWidth="1"/>
    <col min="294" max="294" width="10.5546875" bestFit="1" customWidth="1"/>
    <col min="295" max="295" width="9.44140625" bestFit="1" customWidth="1"/>
    <col min="296" max="296" width="11.5546875" bestFit="1" customWidth="1"/>
    <col min="297" max="297" width="7.33203125" bestFit="1" customWidth="1"/>
    <col min="298" max="298" width="9.5546875" bestFit="1" customWidth="1"/>
    <col min="299" max="299" width="9.44140625" bestFit="1" customWidth="1"/>
    <col min="300" max="300" width="11.5546875" bestFit="1" customWidth="1"/>
    <col min="301" max="301" width="9.44140625" bestFit="1" customWidth="1"/>
    <col min="302" max="302" width="11.5546875" bestFit="1" customWidth="1"/>
    <col min="303" max="303" width="9.44140625" bestFit="1" customWidth="1"/>
    <col min="304" max="304" width="11.5546875" bestFit="1" customWidth="1"/>
    <col min="305" max="305" width="9.44140625" bestFit="1" customWidth="1"/>
    <col min="306" max="306" width="11.5546875" bestFit="1" customWidth="1"/>
    <col min="307" max="307" width="9.44140625" bestFit="1" customWidth="1"/>
    <col min="308" max="308" width="11.5546875" bestFit="1" customWidth="1"/>
    <col min="309" max="309" width="9.44140625" bestFit="1" customWidth="1"/>
    <col min="310" max="310" width="11.5546875" bestFit="1" customWidth="1"/>
    <col min="311" max="311" width="9.44140625" bestFit="1" customWidth="1"/>
    <col min="312" max="312" width="11.5546875" bestFit="1" customWidth="1"/>
    <col min="313" max="313" width="9.44140625" bestFit="1" customWidth="1"/>
    <col min="314" max="314" width="11.5546875" bestFit="1" customWidth="1"/>
    <col min="315" max="315" width="9.44140625" bestFit="1" customWidth="1"/>
    <col min="316" max="316" width="11.5546875" bestFit="1" customWidth="1"/>
    <col min="317" max="317" width="9.44140625" bestFit="1" customWidth="1"/>
    <col min="318" max="318" width="11.5546875" bestFit="1" customWidth="1"/>
    <col min="319" max="319" width="9.44140625" bestFit="1" customWidth="1"/>
    <col min="320" max="320" width="11.5546875" bestFit="1" customWidth="1"/>
    <col min="321" max="321" width="9.44140625" bestFit="1" customWidth="1"/>
    <col min="322" max="322" width="11.5546875" bestFit="1" customWidth="1"/>
    <col min="323" max="323" width="8.33203125" bestFit="1" customWidth="1"/>
    <col min="324" max="324" width="10.5546875" bestFit="1" customWidth="1"/>
    <col min="325" max="325" width="9.44140625" bestFit="1" customWidth="1"/>
    <col min="326" max="326" width="11.5546875" bestFit="1" customWidth="1"/>
    <col min="327" max="327" width="9.44140625" bestFit="1" customWidth="1"/>
    <col min="328" max="328" width="11.5546875" bestFit="1" customWidth="1"/>
    <col min="329" max="329" width="9.44140625" bestFit="1" customWidth="1"/>
    <col min="330" max="330" width="11.5546875" bestFit="1" customWidth="1"/>
    <col min="331" max="331" width="9.44140625" bestFit="1" customWidth="1"/>
    <col min="332" max="332" width="11.5546875" bestFit="1" customWidth="1"/>
    <col min="333" max="333" width="9.44140625" bestFit="1" customWidth="1"/>
    <col min="334" max="334" width="11.5546875" bestFit="1" customWidth="1"/>
    <col min="335" max="335" width="9.44140625" bestFit="1" customWidth="1"/>
    <col min="336" max="336" width="11.5546875" bestFit="1" customWidth="1"/>
    <col min="337" max="337" width="9.44140625" bestFit="1" customWidth="1"/>
    <col min="338" max="338" width="11.5546875" bestFit="1" customWidth="1"/>
    <col min="339" max="339" width="9.44140625" bestFit="1" customWidth="1"/>
    <col min="340" max="340" width="11.5546875" bestFit="1" customWidth="1"/>
    <col min="341" max="341" width="9.44140625" bestFit="1" customWidth="1"/>
    <col min="342" max="342" width="11.5546875" bestFit="1" customWidth="1"/>
    <col min="343" max="343" width="9.44140625" bestFit="1" customWidth="1"/>
    <col min="344" max="344" width="11.5546875" bestFit="1" customWidth="1"/>
    <col min="345" max="345" width="9.44140625" bestFit="1" customWidth="1"/>
    <col min="346" max="346" width="11.5546875" bestFit="1" customWidth="1"/>
    <col min="347" max="347" width="9.44140625" bestFit="1" customWidth="1"/>
    <col min="348" max="348" width="11.5546875" bestFit="1" customWidth="1"/>
    <col min="349" max="349" width="9.44140625" bestFit="1" customWidth="1"/>
    <col min="350" max="350" width="11.5546875" bestFit="1" customWidth="1"/>
    <col min="351" max="351" width="9.44140625" bestFit="1" customWidth="1"/>
    <col min="352" max="352" width="11.5546875" bestFit="1" customWidth="1"/>
    <col min="353" max="353" width="9.44140625" bestFit="1" customWidth="1"/>
    <col min="354" max="354" width="11.5546875" bestFit="1" customWidth="1"/>
    <col min="355" max="355" width="9.44140625" bestFit="1" customWidth="1"/>
    <col min="356" max="356" width="11.5546875" bestFit="1" customWidth="1"/>
    <col min="357" max="357" width="9.44140625" bestFit="1" customWidth="1"/>
    <col min="358" max="358" width="11.5546875" bestFit="1" customWidth="1"/>
    <col min="359" max="359" width="9.44140625" bestFit="1" customWidth="1"/>
    <col min="360" max="360" width="11.5546875" bestFit="1" customWidth="1"/>
    <col min="361" max="361" width="8.33203125" bestFit="1" customWidth="1"/>
    <col min="362" max="362" width="10.5546875" bestFit="1" customWidth="1"/>
    <col min="363" max="363" width="9.44140625" bestFit="1" customWidth="1"/>
    <col min="364" max="364" width="11.5546875" bestFit="1" customWidth="1"/>
    <col min="365" max="365" width="9.44140625" bestFit="1" customWidth="1"/>
    <col min="366" max="366" width="11.5546875" bestFit="1" customWidth="1"/>
    <col min="367" max="367" width="9.44140625" bestFit="1" customWidth="1"/>
    <col min="368" max="368" width="11.5546875" bestFit="1" customWidth="1"/>
    <col min="369" max="369" width="9.44140625" bestFit="1" customWidth="1"/>
    <col min="370" max="370" width="11.5546875" bestFit="1" customWidth="1"/>
    <col min="371" max="371" width="9.44140625" bestFit="1" customWidth="1"/>
    <col min="372" max="372" width="11.5546875" bestFit="1" customWidth="1"/>
    <col min="373" max="373" width="9.44140625" bestFit="1" customWidth="1"/>
    <col min="374" max="374" width="11.5546875" bestFit="1" customWidth="1"/>
    <col min="375" max="375" width="9.44140625" bestFit="1" customWidth="1"/>
    <col min="376" max="376" width="11.5546875" bestFit="1" customWidth="1"/>
    <col min="377" max="377" width="6.33203125" bestFit="1" customWidth="1"/>
    <col min="378" max="378" width="9" bestFit="1" customWidth="1"/>
    <col min="379" max="379" width="6.33203125" bestFit="1" customWidth="1"/>
    <col min="380" max="380" width="9" bestFit="1" customWidth="1"/>
    <col min="381" max="381" width="9.44140625" bestFit="1" customWidth="1"/>
    <col min="382" max="382" width="12.109375" bestFit="1" customWidth="1"/>
    <col min="383" max="383" width="11.33203125" bestFit="1" customWidth="1"/>
  </cols>
  <sheetData>
    <row r="1" spans="1:116" x14ac:dyDescent="0.3">
      <c r="A1" s="4" t="s">
        <v>1</v>
      </c>
      <c r="B1" t="s">
        <v>195</v>
      </c>
      <c r="C1" t="s">
        <v>194</v>
      </c>
      <c r="D1" t="s">
        <v>192</v>
      </c>
      <c r="E1" t="s">
        <v>193</v>
      </c>
      <c r="F1" t="s">
        <v>36</v>
      </c>
      <c r="G1" t="s">
        <v>4</v>
      </c>
      <c r="H1" t="s">
        <v>29</v>
      </c>
      <c r="I1" t="s">
        <v>30</v>
      </c>
      <c r="J1" t="s">
        <v>3</v>
      </c>
      <c r="K1" t="s">
        <v>7</v>
      </c>
      <c r="L1" t="s">
        <v>8</v>
      </c>
      <c r="M1" t="s">
        <v>9</v>
      </c>
      <c r="N1" t="s">
        <v>10</v>
      </c>
      <c r="O1" t="s">
        <v>11</v>
      </c>
      <c r="P1" t="s">
        <v>12</v>
      </c>
      <c r="Q1" t="s">
        <v>13</v>
      </c>
      <c r="R1" t="s">
        <v>33</v>
      </c>
      <c r="S1" t="s">
        <v>14</v>
      </c>
      <c r="T1" t="s">
        <v>26</v>
      </c>
      <c r="U1" t="s">
        <v>25</v>
      </c>
      <c r="V1" t="s">
        <v>32</v>
      </c>
      <c r="W1" t="s">
        <v>162</v>
      </c>
      <c r="X1" t="s">
        <v>163</v>
      </c>
      <c r="Y1" t="s">
        <v>164</v>
      </c>
      <c r="Z1" t="s">
        <v>80</v>
      </c>
      <c r="AA1" t="s">
        <v>81</v>
      </c>
      <c r="AB1" t="s">
        <v>82</v>
      </c>
      <c r="AC1" t="s">
        <v>83</v>
      </c>
      <c r="AD1" t="s">
        <v>84</v>
      </c>
      <c r="AE1" t="s">
        <v>85</v>
      </c>
      <c r="AF1" t="s">
        <v>86</v>
      </c>
      <c r="AG1" t="s">
        <v>87</v>
      </c>
      <c r="AH1" t="s">
        <v>88</v>
      </c>
      <c r="AI1" t="s">
        <v>89</v>
      </c>
      <c r="AJ1" t="s">
        <v>165</v>
      </c>
      <c r="AK1" t="s">
        <v>166</v>
      </c>
      <c r="AL1" t="s">
        <v>167</v>
      </c>
      <c r="AM1" t="s">
        <v>90</v>
      </c>
      <c r="AN1" t="s">
        <v>91</v>
      </c>
      <c r="AO1" t="s">
        <v>92</v>
      </c>
      <c r="AP1" t="s">
        <v>93</v>
      </c>
      <c r="AQ1" t="s">
        <v>94</v>
      </c>
      <c r="AR1" t="s">
        <v>95</v>
      </c>
      <c r="AS1" t="s">
        <v>96</v>
      </c>
      <c r="AT1" t="s">
        <v>97</v>
      </c>
      <c r="AU1" t="s">
        <v>98</v>
      </c>
      <c r="AV1" t="s">
        <v>99</v>
      </c>
      <c r="AW1" t="s">
        <v>168</v>
      </c>
      <c r="AX1" t="s">
        <v>169</v>
      </c>
      <c r="AY1" t="s">
        <v>170</v>
      </c>
      <c r="AZ1" t="s">
        <v>100</v>
      </c>
      <c r="BA1" t="s">
        <v>101</v>
      </c>
      <c r="BB1" t="s">
        <v>102</v>
      </c>
      <c r="BC1" t="s">
        <v>103</v>
      </c>
      <c r="BD1" t="s">
        <v>104</v>
      </c>
      <c r="BE1" t="s">
        <v>105</v>
      </c>
      <c r="BF1" t="s">
        <v>106</v>
      </c>
      <c r="BG1" t="s">
        <v>107</v>
      </c>
      <c r="BH1" t="s">
        <v>108</v>
      </c>
      <c r="BI1" t="s">
        <v>109</v>
      </c>
      <c r="BJ1" t="s">
        <v>171</v>
      </c>
      <c r="BK1" t="s">
        <v>172</v>
      </c>
      <c r="BL1" t="s">
        <v>173</v>
      </c>
      <c r="BM1" t="s">
        <v>110</v>
      </c>
      <c r="BN1" t="s">
        <v>111</v>
      </c>
      <c r="BO1" t="s">
        <v>112</v>
      </c>
      <c r="BP1" t="s">
        <v>113</v>
      </c>
      <c r="BQ1" t="s">
        <v>115</v>
      </c>
      <c r="BR1" t="s">
        <v>114</v>
      </c>
      <c r="BS1" t="s">
        <v>116</v>
      </c>
      <c r="BT1" t="s">
        <v>117</v>
      </c>
      <c r="BU1" t="s">
        <v>118</v>
      </c>
      <c r="BV1" t="s">
        <v>119</v>
      </c>
      <c r="BW1" t="s">
        <v>175</v>
      </c>
      <c r="BX1" t="s">
        <v>176</v>
      </c>
      <c r="BY1" t="s">
        <v>182</v>
      </c>
      <c r="BZ1" t="s">
        <v>183</v>
      </c>
      <c r="CA1" t="s">
        <v>184</v>
      </c>
      <c r="CB1" t="s">
        <v>185</v>
      </c>
      <c r="CC1" t="s">
        <v>198</v>
      </c>
      <c r="CD1" t="s">
        <v>199</v>
      </c>
      <c r="CE1" t="s">
        <v>202</v>
      </c>
      <c r="CF1" t="s">
        <v>203</v>
      </c>
      <c r="CG1" t="s">
        <v>207</v>
      </c>
      <c r="CH1" t="s">
        <v>208</v>
      </c>
      <c r="CI1" t="s">
        <v>212</v>
      </c>
      <c r="CJ1" t="s">
        <v>213</v>
      </c>
      <c r="CK1" t="s">
        <v>216</v>
      </c>
      <c r="CL1" t="s">
        <v>217</v>
      </c>
      <c r="CM1" t="s">
        <v>218</v>
      </c>
      <c r="CN1" t="s">
        <v>219</v>
      </c>
      <c r="CO1" t="s">
        <v>234</v>
      </c>
      <c r="CP1" t="s">
        <v>235</v>
      </c>
      <c r="CQ1" t="s">
        <v>236</v>
      </c>
      <c r="CR1" t="s">
        <v>237</v>
      </c>
      <c r="CS1" t="s">
        <v>242</v>
      </c>
      <c r="CT1" t="s">
        <v>243</v>
      </c>
      <c r="CU1" t="s">
        <v>244</v>
      </c>
      <c r="CV1" t="s">
        <v>245</v>
      </c>
      <c r="CW1" t="s">
        <v>248</v>
      </c>
      <c r="CX1" t="s">
        <v>249</v>
      </c>
      <c r="CY1" t="s">
        <v>253</v>
      </c>
      <c r="CZ1" t="s">
        <v>254</v>
      </c>
      <c r="DA1" t="s">
        <v>269</v>
      </c>
      <c r="DB1" t="s">
        <v>270</v>
      </c>
      <c r="DC1" t="s">
        <v>276</v>
      </c>
      <c r="DD1" t="s">
        <v>277</v>
      </c>
    </row>
    <row r="2" spans="1:116" s="23" customFormat="1" x14ac:dyDescent="0.3">
      <c r="A2" s="25" t="s">
        <v>226</v>
      </c>
      <c r="B2" s="24">
        <v>0.16201580035471</v>
      </c>
      <c r="C2" s="24">
        <v>0.4919906881821271</v>
      </c>
      <c r="D2" s="24">
        <v>7.032265526714844E-2</v>
      </c>
      <c r="E2" s="24">
        <v>0.2757</v>
      </c>
      <c r="F2" s="24">
        <v>13266</v>
      </c>
      <c r="G2" s="24">
        <v>8.8999999999999996E-2</v>
      </c>
      <c r="H2" s="24">
        <v>0.29149999999999998</v>
      </c>
      <c r="I2" s="24">
        <v>0.79479999999999995</v>
      </c>
      <c r="J2" s="24">
        <v>0.50329999999999997</v>
      </c>
      <c r="K2" s="24">
        <v>0.78449999999999998</v>
      </c>
      <c r="L2" s="24">
        <v>2.1399999999999999E-2</v>
      </c>
      <c r="M2" s="24">
        <v>0.86060000000000003</v>
      </c>
      <c r="N2" s="24">
        <v>3.5999999999999997E-2</v>
      </c>
      <c r="O2" s="24">
        <v>0.79390000000000005</v>
      </c>
      <c r="P2" s="24">
        <v>5.4800000000000001E-2</v>
      </c>
      <c r="Q2" s="24">
        <v>0.71389999999999998</v>
      </c>
      <c r="R2" s="24">
        <v>4.7100000000000003E-2</v>
      </c>
      <c r="S2" s="24">
        <v>7.2400000000000006E-2</v>
      </c>
      <c r="T2" s="24">
        <v>0.70299999999999996</v>
      </c>
      <c r="U2" s="24">
        <v>8.1900000000000001E-2</v>
      </c>
      <c r="V2" s="24">
        <v>0.81950000000000001</v>
      </c>
      <c r="W2" s="24">
        <v>0.20479999999999998</v>
      </c>
      <c r="X2" s="24">
        <v>0.18480000000000002</v>
      </c>
      <c r="Y2" s="24">
        <v>0.17609999999999998</v>
      </c>
      <c r="Z2" s="24">
        <v>0.1439</v>
      </c>
      <c r="AA2" s="24">
        <v>0.1147</v>
      </c>
      <c r="AB2" s="24">
        <v>0.14610000000000001</v>
      </c>
      <c r="AC2" s="24">
        <v>0.1133</v>
      </c>
      <c r="AD2" s="24">
        <v>0.1052</v>
      </c>
      <c r="AE2" s="24">
        <v>8.4000000000000005E-2</v>
      </c>
      <c r="AF2" s="24">
        <v>7.4099999999999999E-2</v>
      </c>
      <c r="AG2" s="24">
        <v>7.1300000000000002E-2</v>
      </c>
      <c r="AH2" s="24">
        <v>5.4699999999999999E-2</v>
      </c>
      <c r="AI2" s="24">
        <v>5.6899999999999999E-2</v>
      </c>
      <c r="AJ2" s="24">
        <v>0.4249</v>
      </c>
      <c r="AK2" s="24">
        <v>0.38119999999999998</v>
      </c>
      <c r="AL2" s="24">
        <v>0.3579</v>
      </c>
      <c r="AM2" s="24">
        <v>0.37490000000000001</v>
      </c>
      <c r="AN2" s="24">
        <v>0.33700000000000002</v>
      </c>
      <c r="AO2" s="24">
        <v>0.38219999999999998</v>
      </c>
      <c r="AP2" s="24">
        <v>0.3523</v>
      </c>
      <c r="AQ2" s="24">
        <v>0.36969999999999997</v>
      </c>
      <c r="AR2" s="24">
        <v>0.35349999999999998</v>
      </c>
      <c r="AS2" s="24">
        <v>0.30759999999999998</v>
      </c>
      <c r="AT2" s="24">
        <v>0.32819999999999999</v>
      </c>
      <c r="AU2" s="24">
        <v>0.34420000000000001</v>
      </c>
      <c r="AV2" s="24">
        <v>0.30409999999999998</v>
      </c>
      <c r="AW2" s="24">
        <v>0.31969999999999998</v>
      </c>
      <c r="AX2" s="24">
        <v>0.36040000000000005</v>
      </c>
      <c r="AY2" s="24">
        <v>0.36869999999999997</v>
      </c>
      <c r="AZ2" s="24">
        <v>0.3821</v>
      </c>
      <c r="BA2" s="24">
        <v>0.41970000000000002</v>
      </c>
      <c r="BB2" s="24">
        <v>0.36799999999999999</v>
      </c>
      <c r="BC2" s="24">
        <v>0.38650000000000001</v>
      </c>
      <c r="BD2" s="24">
        <v>0.39290000000000003</v>
      </c>
      <c r="BE2" s="24">
        <v>0.39269999999999999</v>
      </c>
      <c r="BF2" s="24">
        <v>0.46129999999999999</v>
      </c>
      <c r="BG2" s="24">
        <v>0.44240000000000002</v>
      </c>
      <c r="BH2" s="24">
        <v>0.44929999999999998</v>
      </c>
      <c r="BI2" s="24">
        <v>0.4551</v>
      </c>
      <c r="BJ2" s="24">
        <v>5.0499999999999996E-2</v>
      </c>
      <c r="BK2" s="24">
        <v>7.3599999999999999E-2</v>
      </c>
      <c r="BL2" s="24">
        <v>9.7299999999999998E-2</v>
      </c>
      <c r="BM2" s="24">
        <v>9.9000000000000005E-2</v>
      </c>
      <c r="BN2" s="24">
        <v>0.12859999999999999</v>
      </c>
      <c r="BO2" s="24">
        <v>0.1037</v>
      </c>
      <c r="BP2" s="24">
        <v>0.14779999999999999</v>
      </c>
      <c r="BQ2" s="24">
        <v>0.16969999999999999</v>
      </c>
      <c r="BR2" s="24">
        <v>0.13220000000000001</v>
      </c>
      <c r="BS2" s="24">
        <v>0.157</v>
      </c>
      <c r="BT2" s="24">
        <v>0.15820000000000001</v>
      </c>
      <c r="BU2" s="24">
        <v>0.1517</v>
      </c>
      <c r="BV2" s="24">
        <v>0.18390000000000001</v>
      </c>
      <c r="BW2" s="24">
        <v>0.65739999999999998</v>
      </c>
      <c r="BX2" s="24">
        <v>0.1855</v>
      </c>
      <c r="BY2" s="24">
        <v>0.2</v>
      </c>
      <c r="BZ2" s="24">
        <v>0.46</v>
      </c>
      <c r="CA2" s="24">
        <v>0.28999999999999998</v>
      </c>
      <c r="CB2" s="24">
        <v>0.04</v>
      </c>
      <c r="CC2" s="24">
        <v>0.73529999999999995</v>
      </c>
      <c r="CD2" s="24">
        <v>0.1096</v>
      </c>
      <c r="CE2" s="24">
        <v>0.81110000000000004</v>
      </c>
      <c r="CF2" s="24">
        <v>4.8399999999999999E-2</v>
      </c>
      <c r="CG2" s="24">
        <v>0.1265</v>
      </c>
      <c r="CH2" s="24">
        <v>0.70250000000000001</v>
      </c>
      <c r="CI2" s="24">
        <v>0.69059999999999999</v>
      </c>
      <c r="CJ2" s="24">
        <v>0.1197</v>
      </c>
      <c r="CK2" s="24">
        <v>0.87670000000000003</v>
      </c>
      <c r="CL2" s="24">
        <v>7.1000000000000004E-3</v>
      </c>
      <c r="CM2" s="24">
        <v>0.53269999999999995</v>
      </c>
      <c r="CN2" s="24">
        <v>0.24660000000000001</v>
      </c>
      <c r="CO2" s="24">
        <v>8.8999999999999996E-2</v>
      </c>
      <c r="CP2" s="24">
        <v>0.29149999999999998</v>
      </c>
      <c r="CQ2" s="24">
        <v>0.50329999999999997</v>
      </c>
      <c r="CR2" s="24">
        <v>0.1162</v>
      </c>
      <c r="CS2" s="24">
        <v>0.78069999999999995</v>
      </c>
      <c r="CT2" s="24">
        <v>6.9699999999999998E-2</v>
      </c>
      <c r="CU2" s="24">
        <v>0.73170000000000002</v>
      </c>
      <c r="CV2" s="24">
        <v>0.1017</v>
      </c>
      <c r="CW2" s="24">
        <v>0.71579999999999999</v>
      </c>
      <c r="CX2" s="24">
        <v>0.1095</v>
      </c>
      <c r="CY2" s="24">
        <v>0.80489999999999995</v>
      </c>
      <c r="CZ2" s="24">
        <v>6.7100000000000007E-2</v>
      </c>
      <c r="DA2" s="24">
        <v>0.80989999999999995</v>
      </c>
      <c r="DB2" s="24">
        <v>8.2100000000000006E-2</v>
      </c>
      <c r="DC2" s="24">
        <v>0.78449999999999998</v>
      </c>
      <c r="DD2" s="24">
        <v>2.1399999999999999E-2</v>
      </c>
      <c r="DE2"/>
      <c r="DF2"/>
      <c r="DG2"/>
      <c r="DH2"/>
      <c r="DI2"/>
      <c r="DJ2"/>
      <c r="DK2"/>
      <c r="DL2"/>
    </row>
    <row r="3" spans="1:116" x14ac:dyDescent="0.3">
      <c r="A3" s="2" t="s">
        <v>2</v>
      </c>
      <c r="B3">
        <v>0.16201580035471</v>
      </c>
      <c r="C3">
        <v>0.4919906881821271</v>
      </c>
      <c r="D3">
        <v>7.032265526714844E-2</v>
      </c>
      <c r="E3">
        <v>0.2757</v>
      </c>
      <c r="F3">
        <v>13266</v>
      </c>
      <c r="G3">
        <v>8.8999999999999996E-2</v>
      </c>
      <c r="H3">
        <v>0.29149999999999998</v>
      </c>
      <c r="I3">
        <v>0.79479999999999995</v>
      </c>
      <c r="J3">
        <v>0.50329999999999997</v>
      </c>
      <c r="K3">
        <v>0.78449999999999998</v>
      </c>
      <c r="L3">
        <v>2.1399999999999999E-2</v>
      </c>
      <c r="M3">
        <v>0.86060000000000003</v>
      </c>
      <c r="N3">
        <v>3.5999999999999997E-2</v>
      </c>
      <c r="O3">
        <v>0.79390000000000005</v>
      </c>
      <c r="P3">
        <v>5.4800000000000001E-2</v>
      </c>
      <c r="Q3">
        <v>0.71389999999999998</v>
      </c>
      <c r="R3">
        <v>4.7100000000000003E-2</v>
      </c>
      <c r="S3">
        <v>7.2400000000000006E-2</v>
      </c>
      <c r="T3">
        <v>0.70299999999999996</v>
      </c>
      <c r="U3">
        <v>8.1900000000000001E-2</v>
      </c>
      <c r="V3">
        <v>0.81950000000000001</v>
      </c>
      <c r="W3">
        <v>0.20479999999999998</v>
      </c>
      <c r="X3">
        <v>0.18480000000000002</v>
      </c>
      <c r="Y3">
        <v>0.17609999999999998</v>
      </c>
      <c r="Z3">
        <v>0.1439</v>
      </c>
      <c r="AA3">
        <v>0.1147</v>
      </c>
      <c r="AB3">
        <v>0.14610000000000001</v>
      </c>
      <c r="AC3">
        <v>0.1133</v>
      </c>
      <c r="AD3">
        <v>0.1052</v>
      </c>
      <c r="AE3">
        <v>8.4000000000000005E-2</v>
      </c>
      <c r="AF3">
        <v>7.4099999999999999E-2</v>
      </c>
      <c r="AG3">
        <v>7.1300000000000002E-2</v>
      </c>
      <c r="AH3">
        <v>5.4699999999999999E-2</v>
      </c>
      <c r="AI3">
        <v>5.6899999999999999E-2</v>
      </c>
      <c r="AJ3">
        <v>0.4249</v>
      </c>
      <c r="AK3">
        <v>0.38119999999999998</v>
      </c>
      <c r="AL3">
        <v>0.3579</v>
      </c>
      <c r="AM3">
        <v>0.37490000000000001</v>
      </c>
      <c r="AN3">
        <v>0.33700000000000002</v>
      </c>
      <c r="AO3">
        <v>0.38219999999999998</v>
      </c>
      <c r="AP3">
        <v>0.3523</v>
      </c>
      <c r="AQ3">
        <v>0.36969999999999997</v>
      </c>
      <c r="AR3">
        <v>0.35349999999999998</v>
      </c>
      <c r="AS3">
        <v>0.30759999999999998</v>
      </c>
      <c r="AT3">
        <v>0.32819999999999999</v>
      </c>
      <c r="AU3">
        <v>0.34420000000000001</v>
      </c>
      <c r="AV3">
        <v>0.30409999999999998</v>
      </c>
      <c r="AW3">
        <v>0.31969999999999998</v>
      </c>
      <c r="AX3">
        <v>0.36040000000000005</v>
      </c>
      <c r="AY3">
        <v>0.36869999999999997</v>
      </c>
      <c r="AZ3">
        <v>0.3821</v>
      </c>
      <c r="BA3">
        <v>0.41970000000000002</v>
      </c>
      <c r="BB3">
        <v>0.36799999999999999</v>
      </c>
      <c r="BC3">
        <v>0.38650000000000001</v>
      </c>
      <c r="BD3">
        <v>0.39290000000000003</v>
      </c>
      <c r="BE3">
        <v>0.39269999999999999</v>
      </c>
      <c r="BF3">
        <v>0.46129999999999999</v>
      </c>
      <c r="BG3">
        <v>0.44240000000000002</v>
      </c>
      <c r="BH3">
        <v>0.44929999999999998</v>
      </c>
      <c r="BI3">
        <v>0.4551</v>
      </c>
      <c r="BJ3">
        <v>5.0499999999999996E-2</v>
      </c>
      <c r="BK3">
        <v>7.3599999999999999E-2</v>
      </c>
      <c r="BL3">
        <v>9.7299999999999998E-2</v>
      </c>
      <c r="BM3">
        <v>9.9000000000000005E-2</v>
      </c>
      <c r="BN3">
        <v>0.12859999999999999</v>
      </c>
      <c r="BO3">
        <v>0.1037</v>
      </c>
      <c r="BP3">
        <v>0.14779999999999999</v>
      </c>
      <c r="BQ3">
        <v>0.16969999999999999</v>
      </c>
      <c r="BR3">
        <v>0.13220000000000001</v>
      </c>
      <c r="BS3">
        <v>0.157</v>
      </c>
      <c r="BT3">
        <v>0.15820000000000001</v>
      </c>
      <c r="BU3">
        <v>0.1517</v>
      </c>
      <c r="BV3">
        <v>0.18390000000000001</v>
      </c>
      <c r="BW3">
        <v>0.65739999999999998</v>
      </c>
      <c r="BX3">
        <v>0.1855</v>
      </c>
      <c r="BY3">
        <v>0.2</v>
      </c>
      <c r="BZ3">
        <v>0.46</v>
      </c>
      <c r="CA3">
        <v>0.28999999999999998</v>
      </c>
      <c r="CB3">
        <v>0.04</v>
      </c>
      <c r="CC3">
        <v>0.73529999999999995</v>
      </c>
      <c r="CD3">
        <v>0.1096</v>
      </c>
      <c r="CE3">
        <v>0.81110000000000004</v>
      </c>
      <c r="CF3">
        <v>4.8399999999999999E-2</v>
      </c>
      <c r="CG3">
        <v>0.1265</v>
      </c>
      <c r="CH3">
        <v>0.70250000000000001</v>
      </c>
      <c r="CI3">
        <v>0.69059999999999999</v>
      </c>
      <c r="CJ3">
        <v>0.1197</v>
      </c>
      <c r="CK3">
        <v>0.87670000000000003</v>
      </c>
      <c r="CL3">
        <v>7.1000000000000004E-3</v>
      </c>
      <c r="CM3">
        <v>0.53269999999999995</v>
      </c>
      <c r="CN3">
        <v>0.24660000000000001</v>
      </c>
      <c r="CO3">
        <v>8.8999999999999996E-2</v>
      </c>
      <c r="CP3">
        <v>0.29149999999999998</v>
      </c>
      <c r="CQ3">
        <v>0.50329999999999997</v>
      </c>
      <c r="CR3">
        <v>0.1162</v>
      </c>
      <c r="CS3">
        <v>0.78069999999999995</v>
      </c>
      <c r="CT3">
        <v>6.9699999999999998E-2</v>
      </c>
      <c r="CU3">
        <v>0.73170000000000002</v>
      </c>
      <c r="CV3">
        <v>0.1017</v>
      </c>
      <c r="CW3">
        <v>0.71579999999999999</v>
      </c>
      <c r="CX3">
        <v>0.1095</v>
      </c>
      <c r="CY3">
        <v>0.80489999999999995</v>
      </c>
      <c r="CZ3">
        <v>6.7100000000000007E-2</v>
      </c>
      <c r="DA3">
        <v>0.80989999999999995</v>
      </c>
      <c r="DB3">
        <v>8.2100000000000006E-2</v>
      </c>
      <c r="DC3">
        <v>0.78449999999999998</v>
      </c>
      <c r="DD3">
        <v>2.1399999999999999E-2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ABE30-F978-4514-85C0-59562091E5BC}">
  <sheetPr codeName="Sheet2"/>
  <dimension ref="A1:DE79"/>
  <sheetViews>
    <sheetView workbookViewId="0">
      <pane xSplit="2" ySplit="1" topLeftCell="BM2" activePane="bottomRight" state="frozen"/>
      <selection pane="topRight" activeCell="D1" sqref="D1"/>
      <selection pane="bottomLeft" activeCell="A2" sqref="A2"/>
      <selection pane="bottomRight" activeCell="BV18" sqref="BV18"/>
    </sheetView>
  </sheetViews>
  <sheetFormatPr defaultRowHeight="14.4" x14ac:dyDescent="0.3"/>
  <cols>
    <col min="3" max="66" width="8.77734375" customWidth="1"/>
    <col min="67" max="67" width="11.33203125" bestFit="1" customWidth="1"/>
    <col min="82" max="82" width="10.21875" bestFit="1" customWidth="1"/>
  </cols>
  <sheetData>
    <row r="1" spans="1:109" s="32" customFormat="1" ht="111" customHeight="1" x14ac:dyDescent="0.3">
      <c r="A1" s="32" t="s">
        <v>122</v>
      </c>
      <c r="B1" s="32" t="s">
        <v>35</v>
      </c>
      <c r="C1" s="36" t="s">
        <v>178</v>
      </c>
      <c r="D1" s="36" t="s">
        <v>153</v>
      </c>
      <c r="E1" s="36" t="s">
        <v>154</v>
      </c>
      <c r="F1" s="36" t="s">
        <v>155</v>
      </c>
      <c r="G1" s="36" t="s">
        <v>40</v>
      </c>
      <c r="H1" s="36" t="s">
        <v>41</v>
      </c>
      <c r="I1" s="36" t="s">
        <v>42</v>
      </c>
      <c r="J1" s="36" t="s">
        <v>43</v>
      </c>
      <c r="K1" s="36" t="s">
        <v>44</v>
      </c>
      <c r="L1" s="36" t="s">
        <v>45</v>
      </c>
      <c r="M1" s="36" t="s">
        <v>46</v>
      </c>
      <c r="N1" s="36" t="s">
        <v>47</v>
      </c>
      <c r="O1" s="36" t="s">
        <v>48</v>
      </c>
      <c r="P1" s="36" t="s">
        <v>49</v>
      </c>
      <c r="Q1" s="36" t="s">
        <v>188</v>
      </c>
      <c r="R1" s="36" t="s">
        <v>230</v>
      </c>
      <c r="S1" s="36" t="s">
        <v>179</v>
      </c>
      <c r="T1" s="36" t="s">
        <v>150</v>
      </c>
      <c r="U1" s="36" t="s">
        <v>151</v>
      </c>
      <c r="V1" s="36" t="s">
        <v>152</v>
      </c>
      <c r="W1" s="36" t="s">
        <v>50</v>
      </c>
      <c r="X1" s="36" t="s">
        <v>51</v>
      </c>
      <c r="Y1" s="36" t="s">
        <v>52</v>
      </c>
      <c r="Z1" s="36" t="s">
        <v>53</v>
      </c>
      <c r="AA1" s="36" t="s">
        <v>54</v>
      </c>
      <c r="AB1" s="36" t="s">
        <v>55</v>
      </c>
      <c r="AC1" s="36" t="s">
        <v>56</v>
      </c>
      <c r="AD1" s="36" t="s">
        <v>57</v>
      </c>
      <c r="AE1" s="36" t="s">
        <v>58</v>
      </c>
      <c r="AF1" s="36" t="s">
        <v>59</v>
      </c>
      <c r="AG1" s="36" t="s">
        <v>189</v>
      </c>
      <c r="AH1" s="36" t="s">
        <v>233</v>
      </c>
      <c r="AI1" s="36" t="s">
        <v>180</v>
      </c>
      <c r="AJ1" s="36" t="s">
        <v>156</v>
      </c>
      <c r="AK1" s="36" t="s">
        <v>157</v>
      </c>
      <c r="AL1" s="36" t="s">
        <v>158</v>
      </c>
      <c r="AM1" s="36" t="s">
        <v>60</v>
      </c>
      <c r="AN1" s="36" t="s">
        <v>61</v>
      </c>
      <c r="AO1" s="36" t="s">
        <v>62</v>
      </c>
      <c r="AP1" s="36" t="s">
        <v>63</v>
      </c>
      <c r="AQ1" s="36" t="s">
        <v>64</v>
      </c>
      <c r="AR1" s="36" t="s">
        <v>65</v>
      </c>
      <c r="AS1" s="36" t="s">
        <v>66</v>
      </c>
      <c r="AT1" s="36" t="s">
        <v>67</v>
      </c>
      <c r="AU1" s="36" t="s">
        <v>68</v>
      </c>
      <c r="AV1" s="36" t="s">
        <v>69</v>
      </c>
      <c r="AW1" s="36" t="s">
        <v>190</v>
      </c>
      <c r="AX1" s="36" t="s">
        <v>231</v>
      </c>
      <c r="AY1" s="36" t="s">
        <v>181</v>
      </c>
      <c r="AZ1" s="36" t="s">
        <v>159</v>
      </c>
      <c r="BA1" s="36" t="s">
        <v>160</v>
      </c>
      <c r="BB1" s="36" t="s">
        <v>161</v>
      </c>
      <c r="BC1" s="36" t="s">
        <v>70</v>
      </c>
      <c r="BD1" s="36" t="s">
        <v>71</v>
      </c>
      <c r="BE1" s="36" t="s">
        <v>72</v>
      </c>
      <c r="BF1" s="36" t="s">
        <v>73</v>
      </c>
      <c r="BG1" s="36" t="s">
        <v>74</v>
      </c>
      <c r="BH1" s="36" t="s">
        <v>75</v>
      </c>
      <c r="BI1" s="36" t="s">
        <v>76</v>
      </c>
      <c r="BJ1" s="36" t="s">
        <v>77</v>
      </c>
      <c r="BK1" s="36" t="s">
        <v>78</v>
      </c>
      <c r="BL1" s="36" t="s">
        <v>79</v>
      </c>
      <c r="BM1" s="36" t="s">
        <v>191</v>
      </c>
      <c r="BN1" s="36" t="s">
        <v>232</v>
      </c>
      <c r="BO1" s="32" t="s">
        <v>123</v>
      </c>
      <c r="BP1" s="32" t="s">
        <v>27</v>
      </c>
      <c r="BQ1" s="32" t="s">
        <v>28</v>
      </c>
      <c r="BR1" s="32" t="s">
        <v>124</v>
      </c>
      <c r="BS1" s="32" t="s">
        <v>274</v>
      </c>
      <c r="BT1" s="32" t="s">
        <v>275</v>
      </c>
      <c r="BU1" s="32" t="s">
        <v>238</v>
      </c>
      <c r="BV1" s="32" t="s">
        <v>239</v>
      </c>
      <c r="BW1" s="32" t="s">
        <v>240</v>
      </c>
      <c r="BX1" s="32" t="s">
        <v>241</v>
      </c>
      <c r="BY1" s="32" t="s">
        <v>210</v>
      </c>
      <c r="BZ1" s="32" t="s">
        <v>211</v>
      </c>
      <c r="CA1" s="32" t="s">
        <v>246</v>
      </c>
      <c r="CB1" s="32" t="s">
        <v>247</v>
      </c>
      <c r="CC1" s="32" t="s">
        <v>125</v>
      </c>
      <c r="CD1" s="32" t="s">
        <v>126</v>
      </c>
      <c r="CE1" s="32" t="s">
        <v>127</v>
      </c>
      <c r="CF1" s="32" t="s">
        <v>128</v>
      </c>
      <c r="CG1" s="32" t="s">
        <v>129</v>
      </c>
      <c r="CH1" s="32" t="s">
        <v>130</v>
      </c>
      <c r="CI1" s="32" t="s">
        <v>131</v>
      </c>
      <c r="CJ1" s="32" t="s">
        <v>132</v>
      </c>
      <c r="CK1" s="32" t="s">
        <v>133</v>
      </c>
      <c r="CL1" s="32" t="s">
        <v>134</v>
      </c>
      <c r="CM1" s="32" t="s">
        <v>135</v>
      </c>
      <c r="CN1" s="32" t="s">
        <v>136</v>
      </c>
      <c r="CO1" s="32" t="s">
        <v>137</v>
      </c>
      <c r="CP1" s="32" t="s">
        <v>138</v>
      </c>
      <c r="CQ1" s="32" t="s">
        <v>139</v>
      </c>
      <c r="CR1" s="32" t="s">
        <v>140</v>
      </c>
      <c r="CS1" s="32" t="s">
        <v>266</v>
      </c>
      <c r="CT1" s="32" t="s">
        <v>267</v>
      </c>
      <c r="CU1" s="32" t="s">
        <v>196</v>
      </c>
      <c r="CV1" s="32" t="s">
        <v>197</v>
      </c>
      <c r="CW1" s="32" t="s">
        <v>206</v>
      </c>
      <c r="CX1" s="32" t="s">
        <v>205</v>
      </c>
      <c r="CY1" s="32" t="s">
        <v>200</v>
      </c>
      <c r="CZ1" s="32" t="s">
        <v>201</v>
      </c>
      <c r="DA1" s="32" t="s">
        <v>214</v>
      </c>
      <c r="DB1" s="32" t="s">
        <v>215</v>
      </c>
      <c r="DC1" s="32" t="s">
        <v>251</v>
      </c>
      <c r="DD1" s="32" t="s">
        <v>252</v>
      </c>
    </row>
    <row r="2" spans="1:109" x14ac:dyDescent="0.3">
      <c r="A2" t="s">
        <v>141</v>
      </c>
      <c r="B2">
        <v>11018</v>
      </c>
      <c r="C2" s="18">
        <v>0.203829455966135</v>
      </c>
      <c r="D2" s="18">
        <v>0.206456529283015</v>
      </c>
      <c r="E2" s="18">
        <v>0.19350815046919201</v>
      </c>
      <c r="F2" s="18">
        <v>0.17703980109918999</v>
      </c>
      <c r="G2" s="18">
        <v>0.15611928848010101</v>
      </c>
      <c r="H2" s="18">
        <v>0.11309977096203799</v>
      </c>
      <c r="I2" s="18">
        <v>0.14254614411963101</v>
      </c>
      <c r="J2" s="18">
        <v>0.11009350797829399</v>
      </c>
      <c r="K2" s="18">
        <v>0.103523492451998</v>
      </c>
      <c r="L2" s="18">
        <v>8.2154752177260301E-2</v>
      </c>
      <c r="M2" s="18">
        <v>7.3801394878007506E-2</v>
      </c>
      <c r="N2" s="18">
        <v>6.9594187766957499E-2</v>
      </c>
      <c r="O2" s="18">
        <v>5.1670833400870399E-2</v>
      </c>
      <c r="P2" s="18">
        <v>5.5191541290994003E-2</v>
      </c>
      <c r="Q2" s="18">
        <v>6.9295156386879261E-2</v>
      </c>
      <c r="R2" s="18">
        <v>8.9499999999999996E-2</v>
      </c>
      <c r="S2" s="18">
        <v>0.46466759882537501</v>
      </c>
      <c r="T2" s="18">
        <v>0.42129292695176002</v>
      </c>
      <c r="U2" s="18">
        <v>0.38402083747099902</v>
      </c>
      <c r="V2" s="18">
        <v>0.35774694691472803</v>
      </c>
      <c r="W2" s="18">
        <v>0.37409093512832797</v>
      </c>
      <c r="X2" s="18">
        <v>0.33546820048409198</v>
      </c>
      <c r="Y2" s="18">
        <v>0.38436014206254199</v>
      </c>
      <c r="Z2" s="18">
        <v>0.353558995147502</v>
      </c>
      <c r="AA2" s="18">
        <v>0.36901235240977398</v>
      </c>
      <c r="AB2" s="18">
        <v>0.350343429693172</v>
      </c>
      <c r="AC2" s="18">
        <v>0.30621373049084799</v>
      </c>
      <c r="AD2" s="18">
        <v>0.32871505894949798</v>
      </c>
      <c r="AE2" s="18">
        <v>0.34648987656977598</v>
      </c>
      <c r="AF2" s="18">
        <v>0.30451843162418601</v>
      </c>
      <c r="AG2" s="18">
        <v>0.27615580766146852</v>
      </c>
      <c r="AH2" s="18">
        <v>0.29670000000000002</v>
      </c>
      <c r="AI2" s="18">
        <v>0.28910860346850098</v>
      </c>
      <c r="AJ2" s="18">
        <v>0.31972192798871601</v>
      </c>
      <c r="AK2" s="18">
        <v>0.34955419594088</v>
      </c>
      <c r="AL2" s="18">
        <v>0.36521217836381098</v>
      </c>
      <c r="AM2" s="18">
        <v>0.36948152838558102</v>
      </c>
      <c r="AN2" s="18">
        <v>0.41869721154892697</v>
      </c>
      <c r="AO2" s="18">
        <v>0.36661290023864102</v>
      </c>
      <c r="AP2" s="18">
        <v>0.38402889484483999</v>
      </c>
      <c r="AQ2" s="18">
        <v>0.39381173384506302</v>
      </c>
      <c r="AR2" s="18">
        <v>0.39653253037282399</v>
      </c>
      <c r="AS2" s="18">
        <v>0.462246875936698</v>
      </c>
      <c r="AT2" s="18">
        <v>0.44250530730839999</v>
      </c>
      <c r="AU2" s="18">
        <v>0.45029264516622403</v>
      </c>
      <c r="AV2" s="18">
        <v>0.45783732482598499</v>
      </c>
      <c r="AW2" s="18">
        <v>0.49283903205910001</v>
      </c>
      <c r="AX2" s="18">
        <v>0.496</v>
      </c>
      <c r="AY2" s="18">
        <v>4.2394341739988899E-2</v>
      </c>
      <c r="AZ2" s="18">
        <v>5.2528615776509302E-2</v>
      </c>
      <c r="BA2" s="18">
        <v>7.2916816118928598E-2</v>
      </c>
      <c r="BB2" s="18">
        <v>0.10000107362227099</v>
      </c>
      <c r="BC2" s="18">
        <v>0.10030824800599</v>
      </c>
      <c r="BD2" s="18">
        <v>0.132734817004943</v>
      </c>
      <c r="BE2" s="18">
        <v>0.106480813579186</v>
      </c>
      <c r="BF2" s="18">
        <v>0.15231860202936401</v>
      </c>
      <c r="BG2" s="18">
        <v>0.13365242129316501</v>
      </c>
      <c r="BH2" s="18">
        <v>0.170969287756743</v>
      </c>
      <c r="BI2" s="18">
        <v>0.15773799869444699</v>
      </c>
      <c r="BJ2" s="18">
        <v>0.159185445975144</v>
      </c>
      <c r="BK2" s="18">
        <v>0.15154664486312899</v>
      </c>
      <c r="BL2" s="18">
        <v>0.182452702258834</v>
      </c>
      <c r="BM2" s="18">
        <v>0.1617100038925523</v>
      </c>
      <c r="BN2" s="18">
        <v>0.1177</v>
      </c>
      <c r="BO2" s="18">
        <v>8.9499999999999996E-2</v>
      </c>
      <c r="BP2" s="18">
        <v>0.29670000000000002</v>
      </c>
      <c r="BQ2" s="18">
        <v>0.79269999999999996</v>
      </c>
      <c r="BR2" s="18">
        <v>0.496</v>
      </c>
      <c r="BS2" s="43">
        <v>0.78210000000000002</v>
      </c>
      <c r="BT2" s="43">
        <v>2.1000000000000001E-2</v>
      </c>
      <c r="BU2" s="18">
        <v>0.78069999999999995</v>
      </c>
      <c r="BV2" s="18">
        <v>7.0000000000000007E-2</v>
      </c>
      <c r="BW2" s="18">
        <v>0.7339</v>
      </c>
      <c r="BX2" s="18">
        <v>0.10150000000000001</v>
      </c>
      <c r="BY2" s="18">
        <v>0.69230000000000003</v>
      </c>
      <c r="BZ2" s="18">
        <v>0.1181</v>
      </c>
      <c r="CA2" s="18">
        <v>0.71640000000000004</v>
      </c>
      <c r="CB2" s="18">
        <v>0.1084</v>
      </c>
      <c r="CC2" s="18">
        <v>0.78210000000000002</v>
      </c>
      <c r="CD2" s="18">
        <v>2.1000000000000001E-2</v>
      </c>
      <c r="CE2" s="18">
        <v>0.8579</v>
      </c>
      <c r="CF2" s="18">
        <v>3.56E-2</v>
      </c>
      <c r="CG2" s="18">
        <v>0.79259999999999997</v>
      </c>
      <c r="CH2" s="18">
        <v>5.3699999999999998E-2</v>
      </c>
      <c r="CI2" s="18">
        <v>0.7127</v>
      </c>
      <c r="CJ2" s="18">
        <v>7.22E-2</v>
      </c>
      <c r="CK2" s="18">
        <v>0.70640000000000003</v>
      </c>
      <c r="CL2" s="18">
        <v>8.0799999999999997E-2</v>
      </c>
      <c r="CM2" s="18">
        <v>0.81850000000000001</v>
      </c>
      <c r="CN2" s="18">
        <v>4.5400000000000003E-2</v>
      </c>
      <c r="CO2" s="18">
        <v>0.53100000000000003</v>
      </c>
      <c r="CP2" s="18">
        <v>0.24940000000000001</v>
      </c>
      <c r="CQ2" s="18">
        <v>0.65969999999999995</v>
      </c>
      <c r="CR2" s="18">
        <v>0.18340000000000001</v>
      </c>
      <c r="CS2" s="18">
        <v>0.81</v>
      </c>
      <c r="CT2" s="18">
        <v>8.2100000000000006E-2</v>
      </c>
      <c r="CU2" s="18">
        <v>0.73960000000000004</v>
      </c>
      <c r="CV2" s="18">
        <v>0.1067</v>
      </c>
      <c r="CW2" s="18">
        <v>0.70630000000000004</v>
      </c>
      <c r="CX2" s="18">
        <v>0.1244</v>
      </c>
      <c r="CY2" s="18">
        <v>0.81020000000000003</v>
      </c>
      <c r="CZ2" s="18">
        <v>4.82E-2</v>
      </c>
      <c r="DA2" s="18">
        <v>0.873</v>
      </c>
      <c r="DB2" s="18">
        <v>7.6E-3</v>
      </c>
      <c r="DC2" s="18">
        <v>0.80210000000000004</v>
      </c>
      <c r="DD2" s="18">
        <v>6.7299999999999999E-2</v>
      </c>
    </row>
    <row r="3" spans="1:109" x14ac:dyDescent="0.3">
      <c r="A3" t="s">
        <v>0</v>
      </c>
      <c r="B3">
        <v>985</v>
      </c>
      <c r="C3" s="18">
        <v>0.192085283903073</v>
      </c>
      <c r="D3" s="18">
        <v>0.21071862099999999</v>
      </c>
      <c r="E3" s="18">
        <v>0.18383142699999999</v>
      </c>
      <c r="F3" s="18">
        <v>0.170027068</v>
      </c>
      <c r="G3" s="18">
        <v>0.15079637400000001</v>
      </c>
      <c r="H3" s="18">
        <v>0.10361801900000001</v>
      </c>
      <c r="I3" s="18">
        <v>0.15068420799999999</v>
      </c>
      <c r="J3" s="18">
        <v>0.13543553699999999</v>
      </c>
      <c r="K3" s="18">
        <v>0.120400883</v>
      </c>
      <c r="L3" s="18">
        <v>0.101121059</v>
      </c>
      <c r="M3" s="18">
        <v>8.0113873000000002E-2</v>
      </c>
      <c r="N3" s="18">
        <v>7.3504389000000003E-2</v>
      </c>
      <c r="O3" s="18">
        <v>4.8362039000000002E-2</v>
      </c>
      <c r="P3" s="18">
        <v>6.1222161999999997E-2</v>
      </c>
      <c r="Q3" s="18">
        <v>6.332924813369778E-2</v>
      </c>
      <c r="R3" s="18">
        <v>8.2699999999999996E-2</v>
      </c>
      <c r="S3" s="18">
        <v>0.481390996231993</v>
      </c>
      <c r="T3" s="18">
        <v>0.42878882000000001</v>
      </c>
      <c r="U3" s="18">
        <v>0.39202266899999999</v>
      </c>
      <c r="V3" s="18">
        <v>0.35785926800000001</v>
      </c>
      <c r="W3" s="18">
        <v>0.37323867500000002</v>
      </c>
      <c r="X3" s="18">
        <v>0.32508392600000002</v>
      </c>
      <c r="Y3" s="18">
        <v>0.37318563399999999</v>
      </c>
      <c r="Z3" s="18">
        <v>0.35879950100000002</v>
      </c>
      <c r="AA3" s="18">
        <v>0.37649664500000002</v>
      </c>
      <c r="AB3" s="18">
        <v>0.35848761000000001</v>
      </c>
      <c r="AC3" s="18">
        <v>0.28468095500000001</v>
      </c>
      <c r="AD3" s="18">
        <v>0.34086180300000002</v>
      </c>
      <c r="AE3" s="18">
        <v>0.35779321800000002</v>
      </c>
      <c r="AF3" s="18">
        <v>0.30166237200000001</v>
      </c>
      <c r="AG3" s="18">
        <v>0.25424072055773572</v>
      </c>
      <c r="AH3" s="18">
        <v>0.28320000000000001</v>
      </c>
      <c r="AI3" s="18">
        <v>0.29022085594686498</v>
      </c>
      <c r="AJ3" s="18">
        <v>0.31190256300000002</v>
      </c>
      <c r="AK3" s="18">
        <v>0.36057876700000002</v>
      </c>
      <c r="AL3" s="18">
        <v>0.37480824699999998</v>
      </c>
      <c r="AM3" s="18">
        <v>0.38252529800000001</v>
      </c>
      <c r="AN3" s="18">
        <v>0.44067391500000003</v>
      </c>
      <c r="AO3" s="18">
        <v>0.38043734499999998</v>
      </c>
      <c r="AP3" s="18">
        <v>0.36694555000000001</v>
      </c>
      <c r="AQ3" s="18">
        <v>0.367522933</v>
      </c>
      <c r="AR3" s="18">
        <v>0.36326043899999999</v>
      </c>
      <c r="AS3" s="18">
        <v>0.478497432</v>
      </c>
      <c r="AT3" s="18">
        <v>0.44115139799999997</v>
      </c>
      <c r="AU3" s="18">
        <v>0.44519434200000002</v>
      </c>
      <c r="AV3" s="18">
        <v>0.43357878700000002</v>
      </c>
      <c r="AW3" s="18">
        <v>0.49127579550669542</v>
      </c>
      <c r="AX3" s="18">
        <v>0.49490000000000001</v>
      </c>
      <c r="AY3" s="18">
        <v>3.6302863918069E-2</v>
      </c>
      <c r="AZ3" s="18">
        <v>4.8589997000000003E-2</v>
      </c>
      <c r="BA3" s="18">
        <v>6.3567136999999996E-2</v>
      </c>
      <c r="BB3" s="18">
        <v>9.7305417000000005E-2</v>
      </c>
      <c r="BC3" s="18">
        <v>9.3439652999999998E-2</v>
      </c>
      <c r="BD3" s="18">
        <v>0.130624139</v>
      </c>
      <c r="BE3" s="18">
        <v>9.5692813000000002E-2</v>
      </c>
      <c r="BF3" s="18">
        <v>0.138819412</v>
      </c>
      <c r="BG3" s="18">
        <v>0.135579539</v>
      </c>
      <c r="BH3" s="18">
        <v>0.17713089200000001</v>
      </c>
      <c r="BI3" s="18">
        <v>0.15670774100000001</v>
      </c>
      <c r="BJ3" s="18">
        <v>0.14448240900000001</v>
      </c>
      <c r="BK3" s="18">
        <v>0.14865039999999999</v>
      </c>
      <c r="BL3" s="18">
        <v>0.203536679</v>
      </c>
      <c r="BM3" s="18">
        <v>0.19115423580187119</v>
      </c>
      <c r="BN3" s="18">
        <v>0.13919999999999999</v>
      </c>
      <c r="BO3" s="18">
        <v>8.2699999999999996E-2</v>
      </c>
      <c r="BP3" s="18">
        <v>0.28320000000000001</v>
      </c>
      <c r="BQ3" s="18">
        <v>0.77810000000000001</v>
      </c>
      <c r="BR3" s="18">
        <v>0.49490000000000001</v>
      </c>
      <c r="BS3" s="43">
        <v>0.74229999999999996</v>
      </c>
      <c r="BT3" s="43">
        <v>1.4800000000000001E-2</v>
      </c>
      <c r="BU3" s="18">
        <v>0.76619999999999999</v>
      </c>
      <c r="BV3" s="18">
        <v>7.17E-2</v>
      </c>
      <c r="BW3" s="18">
        <v>0.72670000000000001</v>
      </c>
      <c r="BX3" s="18">
        <v>0.109</v>
      </c>
      <c r="BY3" s="18">
        <v>0.69169999999999998</v>
      </c>
      <c r="BZ3" s="18">
        <v>0.1022</v>
      </c>
      <c r="CA3" s="18">
        <v>0.71350000000000002</v>
      </c>
      <c r="CB3" s="18">
        <v>9.9500000000000005E-2</v>
      </c>
      <c r="CC3" s="18">
        <v>0.74229999999999996</v>
      </c>
      <c r="CD3" s="18">
        <v>1.4800000000000001E-2</v>
      </c>
      <c r="CE3" s="18">
        <v>0.86009999999999998</v>
      </c>
      <c r="CF3" s="18">
        <v>2.92E-2</v>
      </c>
      <c r="CG3" s="18">
        <v>0.7712</v>
      </c>
      <c r="CH3" s="18">
        <v>4.8000000000000001E-2</v>
      </c>
      <c r="CI3" s="18">
        <v>0.76570000000000005</v>
      </c>
      <c r="CJ3" s="18">
        <v>6.5500000000000003E-2</v>
      </c>
      <c r="CK3" s="18">
        <v>0.70979999999999999</v>
      </c>
      <c r="CL3" s="18">
        <v>6.9400000000000003E-2</v>
      </c>
      <c r="CM3" s="18">
        <v>0.81040000000000001</v>
      </c>
      <c r="CN3" s="18">
        <v>5.3400000000000003E-2</v>
      </c>
      <c r="CO3" s="18">
        <v>0.503</v>
      </c>
      <c r="CP3" s="18">
        <v>0.27860000000000001</v>
      </c>
      <c r="CQ3" s="18">
        <v>0.67710000000000004</v>
      </c>
      <c r="CR3" s="18">
        <v>0.1701</v>
      </c>
      <c r="CS3" s="18">
        <v>0.80410000000000004</v>
      </c>
      <c r="CT3" s="18">
        <v>8.43E-2</v>
      </c>
      <c r="CU3" s="18">
        <v>0.73170000000000002</v>
      </c>
      <c r="CV3" s="18">
        <v>0.1004</v>
      </c>
      <c r="CW3" s="18">
        <v>0.7046</v>
      </c>
      <c r="CX3" s="18">
        <v>0.1145</v>
      </c>
      <c r="CY3" s="18">
        <v>0.78969999999999996</v>
      </c>
      <c r="CZ3" s="18">
        <v>5.1999999999999998E-2</v>
      </c>
      <c r="DA3" s="18">
        <v>0.86429999999999996</v>
      </c>
      <c r="DB3" s="18">
        <v>6.1999999999999998E-3</v>
      </c>
      <c r="DC3" s="18">
        <v>0.79069999999999996</v>
      </c>
      <c r="DD3" s="18">
        <v>7.3300000000000004E-2</v>
      </c>
    </row>
    <row r="4" spans="1:109" x14ac:dyDescent="0.3">
      <c r="A4" t="s">
        <v>142</v>
      </c>
      <c r="B4">
        <v>1227</v>
      </c>
      <c r="C4" s="18">
        <v>0.194300951360561</v>
      </c>
      <c r="D4" s="18">
        <v>0.21119412400000001</v>
      </c>
      <c r="E4" s="18">
        <v>0.16830869600000001</v>
      </c>
      <c r="F4" s="18">
        <v>0.204066003</v>
      </c>
      <c r="G4" s="18">
        <v>0.157299511</v>
      </c>
      <c r="H4" s="18">
        <v>0.10857019800000001</v>
      </c>
      <c r="I4" s="18">
        <v>0.15816637</v>
      </c>
      <c r="J4" s="18">
        <v>0.117331792</v>
      </c>
      <c r="K4" s="18">
        <v>0.106934178</v>
      </c>
      <c r="L4" s="18">
        <v>9.1151255E-2</v>
      </c>
      <c r="M4" s="18">
        <v>7.2873262999999994E-2</v>
      </c>
      <c r="N4" s="18">
        <v>7.0894651000000003E-2</v>
      </c>
      <c r="O4" s="18">
        <v>5.9050740999999997E-2</v>
      </c>
      <c r="P4" s="18">
        <v>6.0158151E-2</v>
      </c>
      <c r="Q4" s="18">
        <v>6.306295407237808E-2</v>
      </c>
      <c r="R4" s="18">
        <v>7.3899999999999993E-2</v>
      </c>
      <c r="S4" s="18">
        <v>0.45322621810066599</v>
      </c>
      <c r="T4" s="18">
        <v>0.40534142299999998</v>
      </c>
      <c r="U4" s="18">
        <v>0.366358507</v>
      </c>
      <c r="V4" s="18">
        <v>0.35332044600000001</v>
      </c>
      <c r="W4" s="18">
        <v>0.37413206799999998</v>
      </c>
      <c r="X4" s="18">
        <v>0.33394498099999997</v>
      </c>
      <c r="Y4" s="18">
        <v>0.39033932500000001</v>
      </c>
      <c r="Z4" s="18">
        <v>0.36674874899999999</v>
      </c>
      <c r="AA4" s="18">
        <v>0.358393766</v>
      </c>
      <c r="AB4" s="18">
        <v>0.37255438400000002</v>
      </c>
      <c r="AC4" s="18">
        <v>0.28850852399999999</v>
      </c>
      <c r="AD4" s="18">
        <v>0.33822669100000002</v>
      </c>
      <c r="AE4" s="18">
        <v>0.35015828500000001</v>
      </c>
      <c r="AF4" s="18">
        <v>0.29746061699999998</v>
      </c>
      <c r="AG4" s="18">
        <v>0.28617485214684169</v>
      </c>
      <c r="AH4" s="18">
        <v>0.31230000000000002</v>
      </c>
      <c r="AI4" s="18">
        <v>0.304974582071809</v>
      </c>
      <c r="AJ4" s="18">
        <v>0.32945249100000001</v>
      </c>
      <c r="AK4" s="18">
        <v>0.389796535</v>
      </c>
      <c r="AL4" s="18">
        <v>0.35735852200000001</v>
      </c>
      <c r="AM4" s="18">
        <v>0.37379233499999998</v>
      </c>
      <c r="AN4" s="18">
        <v>0.43418849300000001</v>
      </c>
      <c r="AO4" s="18">
        <v>0.35684094900000002</v>
      </c>
      <c r="AP4" s="18">
        <v>0.37814536399999998</v>
      </c>
      <c r="AQ4" s="18">
        <v>0.41431707899999998</v>
      </c>
      <c r="AR4" s="18">
        <v>0.39678634000000002</v>
      </c>
      <c r="AS4" s="18">
        <v>0.47473184699999998</v>
      </c>
      <c r="AT4" s="18">
        <v>0.45084254099999999</v>
      </c>
      <c r="AU4" s="18">
        <v>0.43184375200000003</v>
      </c>
      <c r="AV4" s="18">
        <v>0.45508915799999999</v>
      </c>
      <c r="AW4" s="18">
        <v>0.48005405409716378</v>
      </c>
      <c r="AX4" s="18">
        <v>0.50419999999999998</v>
      </c>
      <c r="AY4" s="18">
        <v>4.7498248466963003E-2</v>
      </c>
      <c r="AZ4" s="18">
        <v>5.4011961999999997E-2</v>
      </c>
      <c r="BA4" s="18">
        <v>7.5536260999999993E-2</v>
      </c>
      <c r="BB4" s="18">
        <v>8.5255029999999996E-2</v>
      </c>
      <c r="BC4" s="18">
        <v>9.4776085999999996E-2</v>
      </c>
      <c r="BD4" s="18">
        <v>0.123296328</v>
      </c>
      <c r="BE4" s="18">
        <v>9.4653354999999995E-2</v>
      </c>
      <c r="BF4" s="18">
        <v>0.13777409400000001</v>
      </c>
      <c r="BG4" s="18">
        <v>0.120354977</v>
      </c>
      <c r="BH4" s="18">
        <v>0.13950802100000001</v>
      </c>
      <c r="BI4" s="18">
        <v>0.16388636600000001</v>
      </c>
      <c r="BJ4" s="18">
        <v>0.14003611699999999</v>
      </c>
      <c r="BK4" s="18">
        <v>0.158947223</v>
      </c>
      <c r="BL4" s="18">
        <v>0.187292074</v>
      </c>
      <c r="BM4" s="18">
        <v>0.17070813968361651</v>
      </c>
      <c r="BN4" s="18">
        <v>0.1096</v>
      </c>
      <c r="BO4" s="18">
        <v>7.3899999999999993E-2</v>
      </c>
      <c r="BP4" s="18">
        <v>0.31230000000000002</v>
      </c>
      <c r="BQ4" s="18">
        <v>0.8165</v>
      </c>
      <c r="BR4" s="18">
        <v>0.50419999999999998</v>
      </c>
      <c r="BS4" s="43">
        <v>0.78849999999999998</v>
      </c>
      <c r="BT4" s="43">
        <v>1.3299999999999999E-2</v>
      </c>
      <c r="BU4" s="18">
        <v>0.78049999999999997</v>
      </c>
      <c r="BV4" s="18">
        <v>6.1699999999999998E-2</v>
      </c>
      <c r="BW4" s="18">
        <v>0.72840000000000005</v>
      </c>
      <c r="BX4" s="18">
        <v>0.1021</v>
      </c>
      <c r="BY4" s="18">
        <v>0.68899999999999995</v>
      </c>
      <c r="BZ4" s="18">
        <v>0.127</v>
      </c>
      <c r="CA4" s="18">
        <v>0.72440000000000004</v>
      </c>
      <c r="CB4" s="18">
        <v>0.1202</v>
      </c>
      <c r="CC4" s="18">
        <v>0.78849999999999998</v>
      </c>
      <c r="CD4" s="18">
        <v>1.3299999999999999E-2</v>
      </c>
      <c r="CE4" s="18">
        <v>0.88019999999999998</v>
      </c>
      <c r="CF4" s="18">
        <v>3.1E-2</v>
      </c>
      <c r="CG4" s="18">
        <v>0.80230000000000001</v>
      </c>
      <c r="CH4" s="18">
        <v>4.9000000000000002E-2</v>
      </c>
      <c r="CI4" s="18">
        <v>0.72540000000000004</v>
      </c>
      <c r="CJ4" s="18">
        <v>9.1899999999999996E-2</v>
      </c>
      <c r="CK4" s="18">
        <v>0.71970000000000001</v>
      </c>
      <c r="CL4" s="18">
        <v>8.9700000000000002E-2</v>
      </c>
      <c r="CM4" s="18">
        <v>0.84230000000000005</v>
      </c>
      <c r="CN4" s="18">
        <v>3.4299999999999997E-2</v>
      </c>
      <c r="CO4" s="18">
        <v>0.50800000000000001</v>
      </c>
      <c r="CP4" s="18">
        <v>0.26950000000000002</v>
      </c>
      <c r="CQ4" s="18">
        <v>0.64890000000000003</v>
      </c>
      <c r="CR4" s="18">
        <v>0.19789999999999999</v>
      </c>
      <c r="CS4" s="18">
        <v>0.81110000000000004</v>
      </c>
      <c r="CT4" s="18">
        <v>8.9899999999999994E-2</v>
      </c>
      <c r="CU4" s="18">
        <v>0.7349</v>
      </c>
      <c r="CV4" s="18">
        <v>0.1115</v>
      </c>
      <c r="CW4" s="18">
        <v>0.70640000000000003</v>
      </c>
      <c r="CX4" s="18">
        <v>0.127</v>
      </c>
      <c r="CY4" s="18">
        <v>0.83560000000000001</v>
      </c>
      <c r="CZ4" s="18">
        <v>4.1099999999999998E-2</v>
      </c>
      <c r="DA4" s="18">
        <v>0.87590000000000001</v>
      </c>
      <c r="DB4" s="18">
        <v>4.8999999999999998E-3</v>
      </c>
      <c r="DC4" s="18">
        <v>0.82599999999999996</v>
      </c>
      <c r="DD4" s="18">
        <v>5.6899999999999999E-2</v>
      </c>
    </row>
    <row r="5" spans="1:109" x14ac:dyDescent="0.3">
      <c r="A5" t="s">
        <v>143</v>
      </c>
      <c r="B5">
        <v>1741</v>
      </c>
      <c r="C5" s="18">
        <v>0.18285018214290699</v>
      </c>
      <c r="D5" s="18">
        <v>0.171197617</v>
      </c>
      <c r="E5" s="18">
        <v>0.15598536700000001</v>
      </c>
      <c r="F5" s="18">
        <v>0.14124577599999999</v>
      </c>
      <c r="G5" s="18">
        <v>0.138690068</v>
      </c>
      <c r="H5" s="18">
        <v>9.6182313000000005E-2</v>
      </c>
      <c r="I5" s="18">
        <v>0.13444314299999999</v>
      </c>
      <c r="J5" s="18">
        <v>9.1328663000000004E-2</v>
      </c>
      <c r="K5" s="18">
        <v>0.10642143900000001</v>
      </c>
      <c r="L5" s="18">
        <v>7.3839296999999998E-2</v>
      </c>
      <c r="M5" s="18">
        <v>7.7558948000000003E-2</v>
      </c>
      <c r="N5" s="18">
        <v>6.6346470000000005E-2</v>
      </c>
      <c r="O5" s="18">
        <v>4.4828682000000002E-2</v>
      </c>
      <c r="P5" s="18">
        <v>5.6110303E-2</v>
      </c>
      <c r="Q5" s="18">
        <v>8.5851162938955311E-2</v>
      </c>
      <c r="R5" s="18">
        <v>0.1075</v>
      </c>
      <c r="S5" s="18">
        <v>0.50243247878304798</v>
      </c>
      <c r="T5" s="18">
        <v>0.43807618700000001</v>
      </c>
      <c r="U5" s="18">
        <v>0.39675369300000002</v>
      </c>
      <c r="V5" s="18">
        <v>0.36183289200000002</v>
      </c>
      <c r="W5" s="18">
        <v>0.37864135599999998</v>
      </c>
      <c r="X5" s="18">
        <v>0.33836186099999999</v>
      </c>
      <c r="Y5" s="18">
        <v>0.37172696100000002</v>
      </c>
      <c r="Z5" s="18">
        <v>0.37206761399999999</v>
      </c>
      <c r="AA5" s="18">
        <v>0.37691812400000002</v>
      </c>
      <c r="AB5" s="18">
        <v>0.33414806000000002</v>
      </c>
      <c r="AC5" s="18">
        <v>0.29541068399999998</v>
      </c>
      <c r="AD5" s="18">
        <v>0.32225518199999997</v>
      </c>
      <c r="AE5" s="18">
        <v>0.36513094699999998</v>
      </c>
      <c r="AF5" s="18">
        <v>0.31577683499999998</v>
      </c>
      <c r="AG5" s="18">
        <v>0.28133838801448852</v>
      </c>
      <c r="AH5" s="18">
        <v>0.34870000000000001</v>
      </c>
      <c r="AI5" s="18">
        <v>0.26113463146837301</v>
      </c>
      <c r="AJ5" s="18">
        <v>0.322316467</v>
      </c>
      <c r="AK5" s="18">
        <v>0.36908626</v>
      </c>
      <c r="AL5" s="18">
        <v>0.36959067200000001</v>
      </c>
      <c r="AM5" s="18">
        <v>0.35150579300000001</v>
      </c>
      <c r="AN5" s="18">
        <v>0.385222701</v>
      </c>
      <c r="AO5" s="18">
        <v>0.36316318400000003</v>
      </c>
      <c r="AP5" s="18">
        <v>0.35146245999999998</v>
      </c>
      <c r="AQ5" s="18">
        <v>0.36838711200000002</v>
      </c>
      <c r="AR5" s="18">
        <v>0.38478584100000002</v>
      </c>
      <c r="AS5" s="18">
        <v>0.45115924600000001</v>
      </c>
      <c r="AT5" s="18">
        <v>0.42791933399999998</v>
      </c>
      <c r="AU5" s="18">
        <v>0.43282402599999997</v>
      </c>
      <c r="AV5" s="18">
        <v>0.45717827999999999</v>
      </c>
      <c r="AW5" s="18">
        <v>0.47186176205997088</v>
      </c>
      <c r="AX5" s="18">
        <v>0.42970000000000003</v>
      </c>
      <c r="AY5" s="18">
        <v>5.3582707605672401E-2</v>
      </c>
      <c r="AZ5" s="18">
        <v>6.8409729000000002E-2</v>
      </c>
      <c r="BA5" s="18">
        <v>7.8174679999999996E-2</v>
      </c>
      <c r="BB5" s="18">
        <v>0.12733066000000001</v>
      </c>
      <c r="BC5" s="18">
        <v>0.13116278300000001</v>
      </c>
      <c r="BD5" s="18">
        <v>0.18023312599999999</v>
      </c>
      <c r="BE5" s="18">
        <v>0.13066671199999999</v>
      </c>
      <c r="BF5" s="18">
        <v>0.185141263</v>
      </c>
      <c r="BG5" s="18">
        <v>0.14827332500000001</v>
      </c>
      <c r="BH5" s="18">
        <v>0.20722680199999999</v>
      </c>
      <c r="BI5" s="18">
        <v>0.17587112199999999</v>
      </c>
      <c r="BJ5" s="18">
        <v>0.183479014</v>
      </c>
      <c r="BK5" s="18">
        <v>0.15721634500000001</v>
      </c>
      <c r="BL5" s="18">
        <v>0.170934582</v>
      </c>
      <c r="BM5" s="18">
        <v>0.16094868698658529</v>
      </c>
      <c r="BN5" s="18">
        <v>0.1142</v>
      </c>
      <c r="BO5" s="18">
        <v>0.1075</v>
      </c>
      <c r="BP5" s="18">
        <v>0.34870000000000001</v>
      </c>
      <c r="BQ5" s="18">
        <v>0.77839999999999998</v>
      </c>
      <c r="BR5" s="18">
        <v>0.42970000000000003</v>
      </c>
      <c r="BS5" s="43">
        <v>0.78339999999999999</v>
      </c>
      <c r="BT5" s="43">
        <v>2.87E-2</v>
      </c>
      <c r="BU5" s="18">
        <v>0.7702</v>
      </c>
      <c r="BV5" s="18">
        <v>6.0699999999999997E-2</v>
      </c>
      <c r="BW5" s="18">
        <v>0.73070000000000002</v>
      </c>
      <c r="BX5" s="18">
        <v>8.7599999999999997E-2</v>
      </c>
      <c r="BY5" s="18">
        <v>0.68379999999999996</v>
      </c>
      <c r="BZ5" s="18">
        <v>0.10929999999999999</v>
      </c>
      <c r="CA5" s="18">
        <v>0.72760000000000002</v>
      </c>
      <c r="CB5" s="18">
        <v>9.3399999999999997E-2</v>
      </c>
      <c r="CC5" s="18">
        <v>0.78339999999999999</v>
      </c>
      <c r="CD5" s="18">
        <v>2.87E-2</v>
      </c>
      <c r="CE5" s="18">
        <v>0.80389999999999995</v>
      </c>
      <c r="CF5" s="18">
        <v>4.6300000000000001E-2</v>
      </c>
      <c r="CG5" s="18">
        <v>0.78149999999999997</v>
      </c>
      <c r="CH5" s="18">
        <v>4.5699999999999998E-2</v>
      </c>
      <c r="CI5" s="18">
        <v>0.74909999999999999</v>
      </c>
      <c r="CJ5" s="18">
        <v>6.2E-2</v>
      </c>
      <c r="CK5" s="18">
        <v>0.71</v>
      </c>
      <c r="CL5" s="18">
        <v>7.2400000000000006E-2</v>
      </c>
      <c r="CM5" s="18">
        <v>0.77869999999999995</v>
      </c>
      <c r="CN5" s="18">
        <v>4.58E-2</v>
      </c>
      <c r="CO5" s="18">
        <v>0.64959999999999996</v>
      </c>
      <c r="CP5" s="18">
        <v>0.15620000000000001</v>
      </c>
      <c r="CQ5" s="18">
        <v>0.6663</v>
      </c>
      <c r="CR5" s="18">
        <v>0.16020000000000001</v>
      </c>
      <c r="CS5" s="18">
        <v>0.78290000000000004</v>
      </c>
      <c r="CT5" s="18">
        <v>7.5700000000000003E-2</v>
      </c>
      <c r="CU5" s="18">
        <v>0.73219999999999996</v>
      </c>
      <c r="CV5" s="18">
        <v>0.1011</v>
      </c>
      <c r="CW5" s="18">
        <v>0.69210000000000005</v>
      </c>
      <c r="CX5" s="18">
        <v>0.1192</v>
      </c>
      <c r="CY5" s="18">
        <v>0.7802</v>
      </c>
      <c r="CZ5" s="18">
        <v>4.7699999999999999E-2</v>
      </c>
      <c r="DA5" s="18">
        <v>0.84409999999999996</v>
      </c>
      <c r="DB5" s="18">
        <v>1.3599999999999999E-2</v>
      </c>
      <c r="DC5" s="18">
        <v>0.75939999999999996</v>
      </c>
      <c r="DD5" s="18">
        <v>7.6700000000000004E-2</v>
      </c>
    </row>
    <row r="6" spans="1:109" x14ac:dyDescent="0.3">
      <c r="A6" t="s">
        <v>144</v>
      </c>
      <c r="B6">
        <v>576</v>
      </c>
      <c r="C6" s="18">
        <v>0.21037912176416901</v>
      </c>
      <c r="D6" s="18">
        <v>0.173169755177386</v>
      </c>
      <c r="E6" s="18">
        <v>0.24238163714921299</v>
      </c>
      <c r="F6" s="18">
        <v>0.19274590020322299</v>
      </c>
      <c r="G6" s="18">
        <v>0.161957891359127</v>
      </c>
      <c r="H6" s="18">
        <v>0.125320522496914</v>
      </c>
      <c r="I6" s="18">
        <v>0.139046005876096</v>
      </c>
      <c r="J6" s="18">
        <v>0.113462426707393</v>
      </c>
      <c r="K6" s="18">
        <v>0.108141115009038</v>
      </c>
      <c r="L6" s="18">
        <v>8.0850643048676493E-2</v>
      </c>
      <c r="M6" s="18">
        <v>6.5002459286696901E-2</v>
      </c>
      <c r="N6" s="18">
        <v>6.4434242091688798E-2</v>
      </c>
      <c r="O6" s="18">
        <v>6.0595656154705801E-2</v>
      </c>
      <c r="P6" s="18">
        <v>5.9264016959097499E-2</v>
      </c>
      <c r="Q6" s="18">
        <v>7.0692482557594999E-2</v>
      </c>
      <c r="R6" s="18">
        <v>7.8700000000000006E-2</v>
      </c>
      <c r="S6" s="18">
        <v>0.47795935150319602</v>
      </c>
      <c r="T6" s="18">
        <v>0.46488466060598599</v>
      </c>
      <c r="U6" s="18">
        <v>0.35787504115825503</v>
      </c>
      <c r="V6" s="18">
        <v>0.32683902593513098</v>
      </c>
      <c r="W6" s="18">
        <v>0.344764149597859</v>
      </c>
      <c r="X6" s="18">
        <v>0.321872167251744</v>
      </c>
      <c r="Y6" s="18">
        <v>0.36620911167678799</v>
      </c>
      <c r="Z6" s="18">
        <v>0.30165545273144501</v>
      </c>
      <c r="AA6" s="18">
        <v>0.37069533755321099</v>
      </c>
      <c r="AB6" s="18">
        <v>0.36090895984635202</v>
      </c>
      <c r="AC6" s="18">
        <v>0.27372240492550098</v>
      </c>
      <c r="AD6" s="18">
        <v>0.34645781120431501</v>
      </c>
      <c r="AE6" s="18">
        <v>0.34057829324994798</v>
      </c>
      <c r="AF6" s="18">
        <v>0.31855042002860701</v>
      </c>
      <c r="AG6" s="18">
        <v>0.26771311178154789</v>
      </c>
      <c r="AH6" s="18">
        <v>0.27929999999999999</v>
      </c>
      <c r="AI6" s="18">
        <v>0.27771736541224001</v>
      </c>
      <c r="AJ6" s="18">
        <v>0.33243733851382001</v>
      </c>
      <c r="AK6" s="18">
        <v>0.32930129952093601</v>
      </c>
      <c r="AL6" s="18">
        <v>0.39523964126238398</v>
      </c>
      <c r="AM6" s="18">
        <v>0.38831684070958</v>
      </c>
      <c r="AN6" s="18">
        <v>0.431382669070008</v>
      </c>
      <c r="AO6" s="18">
        <v>0.39850355385811898</v>
      </c>
      <c r="AP6" s="18">
        <v>0.44425086925874002</v>
      </c>
      <c r="AQ6" s="18">
        <v>0.40800318119537299</v>
      </c>
      <c r="AR6" s="18">
        <v>0.39434501462680199</v>
      </c>
      <c r="AS6" s="18">
        <v>0.46790115289321499</v>
      </c>
      <c r="AT6" s="18">
        <v>0.45063077852239197</v>
      </c>
      <c r="AU6" s="18">
        <v>0.44131978565806501</v>
      </c>
      <c r="AV6" s="18">
        <v>0.43975798574050201</v>
      </c>
      <c r="AW6" s="18">
        <v>0.50479101777384394</v>
      </c>
      <c r="AX6" s="18">
        <v>0.52059999999999995</v>
      </c>
      <c r="AY6" s="18">
        <v>3.3944161320395599E-2</v>
      </c>
      <c r="AZ6" s="18">
        <v>2.9508245702807499E-2</v>
      </c>
      <c r="BA6" s="18">
        <v>7.04420221715958E-2</v>
      </c>
      <c r="BB6" s="18">
        <v>8.5175432599262399E-2</v>
      </c>
      <c r="BC6" s="18">
        <v>0.10496111833343399</v>
      </c>
      <c r="BD6" s="18">
        <v>0.121424641181334</v>
      </c>
      <c r="BE6" s="18">
        <v>9.6241328588997296E-2</v>
      </c>
      <c r="BF6" s="18">
        <v>0.14063125130242299</v>
      </c>
      <c r="BG6" s="18">
        <v>0.113160366242379</v>
      </c>
      <c r="BH6" s="18">
        <v>0.16389538247816901</v>
      </c>
      <c r="BI6" s="18">
        <v>0.19337398289458699</v>
      </c>
      <c r="BJ6" s="18">
        <v>0.13847716818160399</v>
      </c>
      <c r="BK6" s="18">
        <v>0.15750626493728101</v>
      </c>
      <c r="BL6" s="18">
        <v>0.18242757727179301</v>
      </c>
      <c r="BM6" s="18">
        <v>0.15680338788701309</v>
      </c>
      <c r="BN6" s="18">
        <v>0.12139999999999999</v>
      </c>
      <c r="BO6" s="18">
        <v>7.8700000000000006E-2</v>
      </c>
      <c r="BP6" s="18">
        <v>0.27929999999999999</v>
      </c>
      <c r="BQ6" s="18">
        <v>0.79989999999999994</v>
      </c>
      <c r="BR6" s="18">
        <v>0.52059999999999995</v>
      </c>
      <c r="BS6" s="43">
        <v>0.78969999999999996</v>
      </c>
      <c r="BT6" s="43">
        <v>1.6299999999999999E-2</v>
      </c>
      <c r="BU6" s="18">
        <v>0.79690000000000005</v>
      </c>
      <c r="BV6" s="18">
        <v>7.4300000000000005E-2</v>
      </c>
      <c r="BW6" s="18">
        <v>0.74070000000000003</v>
      </c>
      <c r="BX6" s="18">
        <v>0.10390000000000001</v>
      </c>
      <c r="BY6" s="18">
        <v>0.68889999999999996</v>
      </c>
      <c r="BZ6" s="18">
        <v>0.1115</v>
      </c>
      <c r="CA6" s="18">
        <v>0.71950000000000003</v>
      </c>
      <c r="CB6" s="18">
        <v>9.0499999999999997E-2</v>
      </c>
      <c r="CC6" s="18">
        <v>0.78969999999999996</v>
      </c>
      <c r="CD6" s="18">
        <v>1.6299999999999999E-2</v>
      </c>
      <c r="CE6" s="18">
        <v>0.88290000000000002</v>
      </c>
      <c r="CF6" s="18">
        <v>2.07E-2</v>
      </c>
      <c r="CG6" s="18">
        <v>0.79339999999999999</v>
      </c>
      <c r="CH6" s="18">
        <v>4.4400000000000002E-2</v>
      </c>
      <c r="CI6" s="18">
        <v>0.749</v>
      </c>
      <c r="CJ6" s="18">
        <v>7.8299999999999995E-2</v>
      </c>
      <c r="CK6" s="18">
        <v>0.74229999999999996</v>
      </c>
      <c r="CL6" s="18">
        <v>7.7399999999999997E-2</v>
      </c>
      <c r="CM6" s="18">
        <v>0.83050000000000002</v>
      </c>
      <c r="CN6" s="18">
        <v>3.6900000000000002E-2</v>
      </c>
      <c r="CO6" s="18">
        <v>0.52070000000000005</v>
      </c>
      <c r="CP6" s="18">
        <v>0.2495</v>
      </c>
      <c r="CQ6" s="18">
        <v>0.67230000000000001</v>
      </c>
      <c r="CR6" s="18">
        <v>0.1666</v>
      </c>
      <c r="CS6" s="18">
        <v>0.82940000000000003</v>
      </c>
      <c r="CT6" s="18">
        <v>6.5199999999999994E-2</v>
      </c>
      <c r="CU6" s="18">
        <v>0.77410000000000001</v>
      </c>
      <c r="CV6" s="18">
        <v>8.1199999999999994E-2</v>
      </c>
      <c r="CW6" s="18">
        <v>0.74860000000000004</v>
      </c>
      <c r="CX6" s="18">
        <v>9.4600000000000004E-2</v>
      </c>
      <c r="CY6" s="18">
        <v>0.82399999999999995</v>
      </c>
      <c r="CZ6" s="18">
        <v>3.8199999999999998E-2</v>
      </c>
      <c r="DA6" s="18">
        <v>0.86060000000000003</v>
      </c>
      <c r="DB6" s="18">
        <v>7.1999999999999998E-3</v>
      </c>
      <c r="DC6" s="18">
        <v>0.80459999999999998</v>
      </c>
      <c r="DD6" s="18">
        <v>6.0400000000000002E-2</v>
      </c>
    </row>
    <row r="7" spans="1:109" x14ac:dyDescent="0.3">
      <c r="A7" t="s">
        <v>145</v>
      </c>
      <c r="B7">
        <v>1405</v>
      </c>
      <c r="C7" s="18">
        <v>0.22153596168558701</v>
      </c>
      <c r="D7" s="18">
        <v>0.23265750499999999</v>
      </c>
      <c r="E7" s="18">
        <v>0.25861325099999999</v>
      </c>
      <c r="F7" s="18">
        <v>0.21685589</v>
      </c>
      <c r="G7" s="18">
        <v>0.189799149</v>
      </c>
      <c r="H7" s="18">
        <v>0.12323936000000001</v>
      </c>
      <c r="I7" s="18">
        <v>0.15177972100000001</v>
      </c>
      <c r="J7" s="18">
        <v>0.129258382</v>
      </c>
      <c r="K7" s="18">
        <v>9.3349893000000003E-2</v>
      </c>
      <c r="L7" s="18">
        <v>8.1085635000000003E-2</v>
      </c>
      <c r="M7" s="18">
        <v>7.6314051999999993E-2</v>
      </c>
      <c r="N7" s="18">
        <v>7.0689376999999998E-2</v>
      </c>
      <c r="O7" s="18">
        <v>5.4621310999999999E-2</v>
      </c>
      <c r="P7" s="18">
        <v>5.5327782999999998E-2</v>
      </c>
      <c r="Q7" s="18">
        <v>7.5010939765906059E-2</v>
      </c>
      <c r="R7" s="18">
        <v>8.4199999999999997E-2</v>
      </c>
      <c r="S7" s="18">
        <v>0.44436614743293501</v>
      </c>
      <c r="T7" s="18">
        <v>0.41120021000000001</v>
      </c>
      <c r="U7" s="18">
        <v>0.359569686</v>
      </c>
      <c r="V7" s="18">
        <v>0.32575559900000001</v>
      </c>
      <c r="W7" s="18">
        <v>0.36676800900000001</v>
      </c>
      <c r="X7" s="18">
        <v>0.30916199500000002</v>
      </c>
      <c r="Y7" s="18">
        <v>0.36876715700000001</v>
      </c>
      <c r="Z7" s="18">
        <v>0.33673249100000002</v>
      </c>
      <c r="AA7" s="18">
        <v>0.35209902700000001</v>
      </c>
      <c r="AB7" s="18">
        <v>0.34430580300000002</v>
      </c>
      <c r="AC7" s="18">
        <v>0.30713133599999998</v>
      </c>
      <c r="AD7" s="18">
        <v>0.32240556300000001</v>
      </c>
      <c r="AE7" s="18">
        <v>0.32495921</v>
      </c>
      <c r="AF7" s="18">
        <v>0.28984942699999999</v>
      </c>
      <c r="AG7" s="18">
        <v>0.2792288590218282</v>
      </c>
      <c r="AH7" s="18">
        <v>0.28589999999999999</v>
      </c>
      <c r="AI7" s="18">
        <v>0.29224397317599299</v>
      </c>
      <c r="AJ7" s="18">
        <v>0.31219370899999999</v>
      </c>
      <c r="AK7" s="18">
        <v>0.30434301400000002</v>
      </c>
      <c r="AL7" s="18">
        <v>0.37062030499999998</v>
      </c>
      <c r="AM7" s="18">
        <v>0.35051293300000003</v>
      </c>
      <c r="AN7" s="18">
        <v>0.42489347199999999</v>
      </c>
      <c r="AO7" s="18">
        <v>0.36285706499999998</v>
      </c>
      <c r="AP7" s="18">
        <v>0.38423263800000002</v>
      </c>
      <c r="AQ7" s="18">
        <v>0.43467497999999999</v>
      </c>
      <c r="AR7" s="18">
        <v>0.41161156799999998</v>
      </c>
      <c r="AS7" s="18">
        <v>0.47214826199999999</v>
      </c>
      <c r="AT7" s="18">
        <v>0.44127008899999998</v>
      </c>
      <c r="AU7" s="18">
        <v>0.47459215199999999</v>
      </c>
      <c r="AV7" s="18">
        <v>0.46640550600000003</v>
      </c>
      <c r="AW7" s="18">
        <v>0.48801162378649587</v>
      </c>
      <c r="AX7" s="18">
        <v>0.50509999999999999</v>
      </c>
      <c r="AY7" s="18">
        <v>4.1853917705484703E-2</v>
      </c>
      <c r="AZ7" s="18">
        <v>4.3948576000000003E-2</v>
      </c>
      <c r="BA7" s="18">
        <v>7.7474049000000003E-2</v>
      </c>
      <c r="BB7" s="18">
        <v>8.6768207E-2</v>
      </c>
      <c r="BC7" s="18">
        <v>9.2919908999999995E-2</v>
      </c>
      <c r="BD7" s="18">
        <v>0.14270517299999999</v>
      </c>
      <c r="BE7" s="18">
        <v>0.116596058</v>
      </c>
      <c r="BF7" s="18">
        <v>0.14977649000000001</v>
      </c>
      <c r="BG7" s="18">
        <v>0.1198761</v>
      </c>
      <c r="BH7" s="18">
        <v>0.16299699400000001</v>
      </c>
      <c r="BI7" s="18">
        <v>0.14440634999999999</v>
      </c>
      <c r="BJ7" s="18">
        <v>0.16563497099999999</v>
      </c>
      <c r="BK7" s="18">
        <v>0.14582732700000001</v>
      </c>
      <c r="BL7" s="18">
        <v>0.18841728499999999</v>
      </c>
      <c r="BM7" s="18">
        <v>0.1577485774257697</v>
      </c>
      <c r="BN7" s="18">
        <v>0.12479999999999999</v>
      </c>
      <c r="BO7" s="18">
        <v>8.4199999999999997E-2</v>
      </c>
      <c r="BP7" s="18">
        <v>0.28589999999999999</v>
      </c>
      <c r="BQ7" s="18">
        <v>0.79099999999999993</v>
      </c>
      <c r="BR7" s="18">
        <v>0.50509999999999999</v>
      </c>
      <c r="BS7" s="43">
        <v>0.77990000000000004</v>
      </c>
      <c r="BT7" s="43">
        <v>2.4E-2</v>
      </c>
      <c r="BU7" s="18">
        <v>0.77110000000000001</v>
      </c>
      <c r="BV7" s="18">
        <v>7.5399999999999995E-2</v>
      </c>
      <c r="BW7" s="18">
        <v>0.71220000000000006</v>
      </c>
      <c r="BX7" s="18">
        <v>0.108</v>
      </c>
      <c r="BY7" s="18">
        <v>0.67759999999999998</v>
      </c>
      <c r="BZ7" s="18">
        <v>0.121</v>
      </c>
      <c r="CA7" s="18">
        <v>0.71140000000000003</v>
      </c>
      <c r="CB7" s="18">
        <v>0.1181</v>
      </c>
      <c r="CC7" s="18">
        <v>0.77990000000000004</v>
      </c>
      <c r="CD7" s="18">
        <v>2.4E-2</v>
      </c>
      <c r="CE7" s="18">
        <v>0.87529999999999997</v>
      </c>
      <c r="CF7" s="18">
        <v>2.9899999999999999E-2</v>
      </c>
      <c r="CG7" s="18">
        <v>0.78369999999999995</v>
      </c>
      <c r="CH7" s="18">
        <v>4.7399999999999998E-2</v>
      </c>
      <c r="CI7" s="18">
        <v>0.70650000000000002</v>
      </c>
      <c r="CJ7" s="18">
        <v>6.8000000000000005E-2</v>
      </c>
      <c r="CK7" s="18">
        <v>0.70199999999999996</v>
      </c>
      <c r="CL7" s="18">
        <v>7.6799999999999993E-2</v>
      </c>
      <c r="CM7" s="18">
        <v>0.81940000000000002</v>
      </c>
      <c r="CN7" s="18">
        <v>4.9799999999999997E-2</v>
      </c>
      <c r="CO7" s="18">
        <v>0.51119999999999999</v>
      </c>
      <c r="CP7" s="18">
        <v>0.25369999999999998</v>
      </c>
      <c r="CQ7" s="18">
        <v>0.64680000000000004</v>
      </c>
      <c r="CR7" s="18">
        <v>0.20399999999999999</v>
      </c>
      <c r="CS7" s="18">
        <v>0.80730000000000002</v>
      </c>
      <c r="CT7" s="18">
        <v>9.5200000000000007E-2</v>
      </c>
      <c r="CU7" s="18">
        <v>0.74539999999999995</v>
      </c>
      <c r="CV7" s="18">
        <v>0.115</v>
      </c>
      <c r="CW7" s="18">
        <v>0.70440000000000003</v>
      </c>
      <c r="CX7" s="18">
        <v>0.13739999999999999</v>
      </c>
      <c r="CY7" s="18">
        <v>0.80789999999999995</v>
      </c>
      <c r="CZ7" s="18">
        <v>4.4299999999999999E-2</v>
      </c>
      <c r="DA7" s="18">
        <v>0.87719999999999998</v>
      </c>
      <c r="DB7" s="18">
        <v>5.7000000000000002E-3</v>
      </c>
      <c r="DC7" s="18">
        <v>0.81089999999999995</v>
      </c>
      <c r="DD7" s="18">
        <v>5.9900000000000002E-2</v>
      </c>
    </row>
    <row r="8" spans="1:109" x14ac:dyDescent="0.3">
      <c r="A8" t="s">
        <v>146</v>
      </c>
      <c r="B8">
        <v>1694</v>
      </c>
      <c r="C8" s="18">
        <v>0.209020539823941</v>
      </c>
      <c r="D8" s="18">
        <v>0.208398154300109</v>
      </c>
      <c r="E8" s="18">
        <v>0.15840689851018799</v>
      </c>
      <c r="F8" s="18">
        <v>0.17700040830070701</v>
      </c>
      <c r="G8" s="18">
        <v>0.139636222249613</v>
      </c>
      <c r="H8" s="18">
        <v>0.116362337110422</v>
      </c>
      <c r="I8" s="18">
        <v>0.14580542784353501</v>
      </c>
      <c r="J8" s="18">
        <v>0.107709539086913</v>
      </c>
      <c r="K8" s="18">
        <v>0.100331450972189</v>
      </c>
      <c r="L8" s="18">
        <v>7.9079342795486798E-2</v>
      </c>
      <c r="M8" s="18">
        <v>6.9764464001998594E-2</v>
      </c>
      <c r="N8" s="18">
        <v>6.0270811581319597E-2</v>
      </c>
      <c r="O8" s="18">
        <v>5.91328886368074E-2</v>
      </c>
      <c r="P8" s="18">
        <v>4.87686098803638E-2</v>
      </c>
      <c r="Q8" s="18">
        <v>5.9508859536803731E-2</v>
      </c>
      <c r="R8" s="18">
        <v>9.1200000000000003E-2</v>
      </c>
      <c r="S8" s="18">
        <v>0.461823285054974</v>
      </c>
      <c r="T8" s="18">
        <v>0.414009931097232</v>
      </c>
      <c r="U8" s="18">
        <v>0.40717415072080199</v>
      </c>
      <c r="V8" s="18">
        <v>0.37713390127253799</v>
      </c>
      <c r="W8" s="18">
        <v>0.37110886614279998</v>
      </c>
      <c r="X8" s="18">
        <v>0.35180513879296299</v>
      </c>
      <c r="Y8" s="18">
        <v>0.396796324800123</v>
      </c>
      <c r="Z8" s="18">
        <v>0.35109334832766897</v>
      </c>
      <c r="AA8" s="18">
        <v>0.38401750878276703</v>
      </c>
      <c r="AB8" s="18">
        <v>0.36170898594589701</v>
      </c>
      <c r="AC8" s="18">
        <v>0.34039405045896298</v>
      </c>
      <c r="AD8" s="18">
        <v>0.32792320955837101</v>
      </c>
      <c r="AE8" s="18">
        <v>0.32861852531857599</v>
      </c>
      <c r="AF8" s="18">
        <v>0.31284871984034301</v>
      </c>
      <c r="AG8" s="18">
        <v>0.28862871211603253</v>
      </c>
      <c r="AH8" s="18">
        <v>0.28689999999999999</v>
      </c>
      <c r="AI8" s="18">
        <v>0.29414857173957099</v>
      </c>
      <c r="AJ8" s="18">
        <v>0.32937177777876198</v>
      </c>
      <c r="AK8" s="18">
        <v>0.36923905736167101</v>
      </c>
      <c r="AL8" s="18">
        <v>0.34234980667776899</v>
      </c>
      <c r="AM8" s="18">
        <v>0.40262414823737502</v>
      </c>
      <c r="AN8" s="18">
        <v>0.42879330823412398</v>
      </c>
      <c r="AO8" s="18">
        <v>0.35852405661341702</v>
      </c>
      <c r="AP8" s="18">
        <v>0.38866443136593998</v>
      </c>
      <c r="AQ8" s="18">
        <v>0.37827935036340399</v>
      </c>
      <c r="AR8" s="18">
        <v>0.39239564933115201</v>
      </c>
      <c r="AS8" s="18">
        <v>0.44308929681600301</v>
      </c>
      <c r="AT8" s="18">
        <v>0.45758081068676898</v>
      </c>
      <c r="AU8" s="18">
        <v>0.465189507737577</v>
      </c>
      <c r="AV8" s="18">
        <v>0.46273140420909897</v>
      </c>
      <c r="AW8" s="18">
        <v>0.50237983625536708</v>
      </c>
      <c r="AX8" s="18">
        <v>0.52249999999999996</v>
      </c>
      <c r="AY8" s="18">
        <v>3.5007603381513902E-2</v>
      </c>
      <c r="AZ8" s="18">
        <v>4.8220136823896698E-2</v>
      </c>
      <c r="BA8" s="18">
        <v>6.5179893407338804E-2</v>
      </c>
      <c r="BB8" s="18">
        <v>0.103515883748987</v>
      </c>
      <c r="BC8" s="18">
        <v>8.6630763370211902E-2</v>
      </c>
      <c r="BD8" s="18">
        <v>0.103039215862492</v>
      </c>
      <c r="BE8" s="18">
        <v>9.8874190742925E-2</v>
      </c>
      <c r="BF8" s="18">
        <v>0.152532681219477</v>
      </c>
      <c r="BG8" s="18">
        <v>0.13737168988164</v>
      </c>
      <c r="BH8" s="18">
        <v>0.166816021927465</v>
      </c>
      <c r="BI8" s="18">
        <v>0.146752188723035</v>
      </c>
      <c r="BJ8" s="18">
        <v>0.15422516817354101</v>
      </c>
      <c r="BK8" s="18">
        <v>0.14705907830703899</v>
      </c>
      <c r="BL8" s="18">
        <v>0.17565126607019399</v>
      </c>
      <c r="BM8" s="18">
        <v>0.14948259209179671</v>
      </c>
      <c r="BN8" s="18">
        <v>9.9400000000000002E-2</v>
      </c>
      <c r="BO8" s="18">
        <v>9.1200000000000003E-2</v>
      </c>
      <c r="BP8" s="18">
        <v>0.28689999999999999</v>
      </c>
      <c r="BQ8" s="18">
        <v>0.8093999999999999</v>
      </c>
      <c r="BR8" s="18">
        <v>0.52249999999999996</v>
      </c>
      <c r="BS8" s="43">
        <v>0.79769999999999996</v>
      </c>
      <c r="BT8" s="43">
        <v>2.29E-2</v>
      </c>
      <c r="BU8" s="18">
        <v>0.80400000000000005</v>
      </c>
      <c r="BV8" s="18">
        <v>6.9000000000000006E-2</v>
      </c>
      <c r="BW8" s="18">
        <v>0.74650000000000005</v>
      </c>
      <c r="BX8" s="18">
        <v>0.1066</v>
      </c>
      <c r="BY8" s="18">
        <v>0.69599999999999995</v>
      </c>
      <c r="BZ8" s="18">
        <v>0.13400000000000001</v>
      </c>
      <c r="CA8" s="18">
        <v>0.69950000000000001</v>
      </c>
      <c r="CB8" s="18">
        <v>0.12</v>
      </c>
      <c r="CC8" s="18">
        <v>0.79769999999999996</v>
      </c>
      <c r="CD8" s="18">
        <v>2.29E-2</v>
      </c>
      <c r="CE8" s="18">
        <v>0.86360000000000003</v>
      </c>
      <c r="CF8" s="18">
        <v>4.02E-2</v>
      </c>
      <c r="CG8" s="18">
        <v>0.80530000000000002</v>
      </c>
      <c r="CH8" s="18">
        <v>5.8599999999999999E-2</v>
      </c>
      <c r="CI8" s="18">
        <v>0.74080000000000001</v>
      </c>
      <c r="CJ8" s="18">
        <v>0.1013</v>
      </c>
      <c r="CK8" s="18">
        <v>0.6835</v>
      </c>
      <c r="CL8" s="18">
        <v>9.3200000000000005E-2</v>
      </c>
      <c r="CM8" s="18">
        <v>0.8347</v>
      </c>
      <c r="CN8" s="18">
        <v>4.6199999999999998E-2</v>
      </c>
      <c r="CO8" s="18">
        <v>0.49059999999999998</v>
      </c>
      <c r="CP8" s="18">
        <v>0.29010000000000002</v>
      </c>
      <c r="CQ8" s="18">
        <v>0.65480000000000005</v>
      </c>
      <c r="CR8" s="18">
        <v>0.1915</v>
      </c>
      <c r="CS8" s="18">
        <v>0.81459999999999999</v>
      </c>
      <c r="CT8" s="18">
        <v>8.6900000000000005E-2</v>
      </c>
      <c r="CU8" s="18">
        <v>0.74139999999999995</v>
      </c>
      <c r="CV8" s="18">
        <v>0.1099</v>
      </c>
      <c r="CW8" s="18">
        <v>0.71160000000000001</v>
      </c>
      <c r="CX8" s="18">
        <v>0.1341</v>
      </c>
      <c r="CY8" s="18">
        <v>0.82709999999999995</v>
      </c>
      <c r="CZ8" s="18">
        <v>5.5300000000000002E-2</v>
      </c>
      <c r="DA8" s="18">
        <v>0.90959999999999996</v>
      </c>
      <c r="DB8" s="18">
        <v>5.1000000000000004E-3</v>
      </c>
      <c r="DC8" s="18">
        <v>0.80859999999999999</v>
      </c>
      <c r="DD8" s="18">
        <v>7.0599999999999996E-2</v>
      </c>
    </row>
    <row r="9" spans="1:109" x14ac:dyDescent="0.3">
      <c r="A9" t="s">
        <v>147</v>
      </c>
      <c r="B9">
        <v>1128</v>
      </c>
      <c r="C9" s="18">
        <v>0.21795778814137701</v>
      </c>
      <c r="D9" s="18">
        <v>0.20925840200000001</v>
      </c>
      <c r="E9" s="18">
        <v>0.18937242100000001</v>
      </c>
      <c r="F9" s="18">
        <v>0.15712005100000001</v>
      </c>
      <c r="G9" s="18">
        <v>0.15627006299999999</v>
      </c>
      <c r="H9" s="18">
        <v>0.12741283</v>
      </c>
      <c r="I9" s="18">
        <v>0.121318252</v>
      </c>
      <c r="J9" s="18">
        <v>9.7637066999999994E-2</v>
      </c>
      <c r="K9" s="18">
        <v>0.10034683699999999</v>
      </c>
      <c r="L9" s="18">
        <v>5.8387821999999999E-2</v>
      </c>
      <c r="M9" s="18">
        <v>6.7417847000000003E-2</v>
      </c>
      <c r="N9" s="18">
        <v>7.0401241000000003E-2</v>
      </c>
      <c r="O9" s="18">
        <v>4.4991899000000002E-2</v>
      </c>
      <c r="P9" s="18">
        <v>5.0797331000000001E-2</v>
      </c>
      <c r="Q9" s="18">
        <v>6.7298065123777909E-2</v>
      </c>
      <c r="R9" s="18">
        <v>8.14E-2</v>
      </c>
      <c r="S9" s="18">
        <v>0.42726139520819001</v>
      </c>
      <c r="T9" s="18">
        <v>0.41589828400000001</v>
      </c>
      <c r="U9" s="18">
        <v>0.37432157599999999</v>
      </c>
      <c r="V9" s="18">
        <v>0.38836184299999998</v>
      </c>
      <c r="W9" s="18">
        <v>0.382492836</v>
      </c>
      <c r="X9" s="18">
        <v>0.36398244400000002</v>
      </c>
      <c r="Y9" s="18">
        <v>0.43839602700000002</v>
      </c>
      <c r="Z9" s="18">
        <v>0.37558858000000001</v>
      </c>
      <c r="AA9" s="18">
        <v>0.36313117700000003</v>
      </c>
      <c r="AB9" s="18">
        <v>0.36380538099999998</v>
      </c>
      <c r="AC9" s="18">
        <v>0.30927685700000002</v>
      </c>
      <c r="AD9" s="18">
        <v>0.34071760600000001</v>
      </c>
      <c r="AE9" s="18">
        <v>0.37055221799999999</v>
      </c>
      <c r="AF9" s="18">
        <v>0.30527415200000002</v>
      </c>
      <c r="AG9" s="18">
        <v>0.28731039954139692</v>
      </c>
      <c r="AH9" s="18">
        <v>0.27239999999999998</v>
      </c>
      <c r="AI9" s="18">
        <v>0.31603748914157498</v>
      </c>
      <c r="AJ9" s="18">
        <v>0.32750937600000002</v>
      </c>
      <c r="AK9" s="18">
        <v>0.368483224</v>
      </c>
      <c r="AL9" s="18">
        <v>0.36953722100000003</v>
      </c>
      <c r="AM9" s="18">
        <v>0.347121069</v>
      </c>
      <c r="AN9" s="18">
        <v>0.39186053500000001</v>
      </c>
      <c r="AO9" s="18">
        <v>0.35663082699999998</v>
      </c>
      <c r="AP9" s="18">
        <v>0.39320840400000001</v>
      </c>
      <c r="AQ9" s="18">
        <v>0.40838307299999999</v>
      </c>
      <c r="AR9" s="18">
        <v>0.42080305000000001</v>
      </c>
      <c r="AS9" s="18">
        <v>0.494500622</v>
      </c>
      <c r="AT9" s="18">
        <v>0.45155262600000001</v>
      </c>
      <c r="AU9" s="18">
        <v>0.46724884</v>
      </c>
      <c r="AV9" s="18">
        <v>0.47628704399999999</v>
      </c>
      <c r="AW9" s="18">
        <v>0.49654430855187959</v>
      </c>
      <c r="AX9" s="18">
        <v>0.50990000000000002</v>
      </c>
      <c r="AY9" s="18">
        <v>3.8743327508858401E-2</v>
      </c>
      <c r="AZ9" s="18">
        <v>4.7333937999999999E-2</v>
      </c>
      <c r="BA9" s="18">
        <v>6.7822779E-2</v>
      </c>
      <c r="BB9" s="18">
        <v>8.4980885000000006E-2</v>
      </c>
      <c r="BC9" s="18">
        <v>0.11411603200000001</v>
      </c>
      <c r="BD9" s="18">
        <v>0.116744191</v>
      </c>
      <c r="BE9" s="18">
        <v>8.3654893999999994E-2</v>
      </c>
      <c r="BF9" s="18">
        <v>0.13356594799999999</v>
      </c>
      <c r="BG9" s="18">
        <v>0.12813891399999999</v>
      </c>
      <c r="BH9" s="18">
        <v>0.157003747</v>
      </c>
      <c r="BI9" s="18">
        <v>0.12880467400000001</v>
      </c>
      <c r="BJ9" s="18">
        <v>0.13732852700000001</v>
      </c>
      <c r="BK9" s="18">
        <v>0.117207044</v>
      </c>
      <c r="BL9" s="18">
        <v>0.16764147400000001</v>
      </c>
      <c r="BM9" s="18">
        <v>0.1488472267829456</v>
      </c>
      <c r="BN9" s="18">
        <v>0.1363</v>
      </c>
      <c r="BO9" s="18">
        <v>8.14E-2</v>
      </c>
      <c r="BP9" s="18">
        <v>0.27239999999999998</v>
      </c>
      <c r="BQ9" s="18">
        <v>0.7823</v>
      </c>
      <c r="BR9" s="18">
        <v>0.50990000000000002</v>
      </c>
      <c r="BS9" s="43">
        <v>0.81420000000000003</v>
      </c>
      <c r="BT9" s="43">
        <v>1.4800000000000001E-2</v>
      </c>
      <c r="BU9" s="18">
        <v>0.78739999999999999</v>
      </c>
      <c r="BV9" s="18">
        <v>6.9400000000000003E-2</v>
      </c>
      <c r="BW9" s="18">
        <v>0.74560000000000004</v>
      </c>
      <c r="BX9" s="18">
        <v>9.6799999999999997E-2</v>
      </c>
      <c r="BY9" s="18">
        <v>0.69450000000000001</v>
      </c>
      <c r="BZ9" s="18">
        <v>0.1132</v>
      </c>
      <c r="CA9" s="18">
        <v>0.70079999999999998</v>
      </c>
      <c r="CB9" s="18">
        <v>0.1157</v>
      </c>
      <c r="CC9" s="18">
        <v>0.81420000000000003</v>
      </c>
      <c r="CD9" s="18">
        <v>1.4800000000000001E-2</v>
      </c>
      <c r="CE9" s="18">
        <v>0.87229999999999996</v>
      </c>
      <c r="CF9" s="18">
        <v>3.4000000000000002E-2</v>
      </c>
      <c r="CG9" s="18">
        <v>0.81740000000000002</v>
      </c>
      <c r="CH9" s="18">
        <v>6.0100000000000001E-2</v>
      </c>
      <c r="CI9" s="18">
        <v>0.73140000000000005</v>
      </c>
      <c r="CJ9" s="18">
        <v>0.1053</v>
      </c>
      <c r="CK9" s="18">
        <v>0.71589999999999998</v>
      </c>
      <c r="CL9" s="18">
        <v>7.6499999999999999E-2</v>
      </c>
      <c r="CM9" s="18">
        <v>0.84899999999999998</v>
      </c>
      <c r="CN9" s="18">
        <v>3.9100000000000003E-2</v>
      </c>
      <c r="CO9" s="18">
        <v>0.51249999999999996</v>
      </c>
      <c r="CP9" s="18">
        <v>0.2621</v>
      </c>
      <c r="CQ9" s="18">
        <v>0.65749999999999997</v>
      </c>
      <c r="CR9" s="18">
        <v>0.19320000000000001</v>
      </c>
      <c r="CS9" s="18">
        <v>0.80610000000000004</v>
      </c>
      <c r="CT9" s="18">
        <v>7.8299999999999995E-2</v>
      </c>
      <c r="CU9" s="18">
        <v>0.73860000000000003</v>
      </c>
      <c r="CV9" s="18">
        <v>0.1108</v>
      </c>
      <c r="CW9" s="18">
        <v>0.71599999999999997</v>
      </c>
      <c r="CX9" s="18">
        <v>0.1235</v>
      </c>
      <c r="CY9" s="18">
        <v>0.83199999999999996</v>
      </c>
      <c r="CZ9" s="18">
        <v>3.9699999999999999E-2</v>
      </c>
      <c r="DA9" s="18">
        <v>0.87439999999999996</v>
      </c>
      <c r="DB9" s="18">
        <v>8.6E-3</v>
      </c>
      <c r="DC9" s="18">
        <v>0.81879999999999997</v>
      </c>
      <c r="DD9" s="18">
        <v>6.1600000000000002E-2</v>
      </c>
    </row>
    <row r="10" spans="1:109" x14ac:dyDescent="0.3">
      <c r="A10" t="s">
        <v>148</v>
      </c>
      <c r="B10">
        <v>1170</v>
      </c>
      <c r="C10" s="18">
        <v>0.20253309361181501</v>
      </c>
      <c r="D10" s="18">
        <v>0.21120307999999999</v>
      </c>
      <c r="E10" s="18">
        <v>0.213768135</v>
      </c>
      <c r="F10" s="18">
        <v>0.14628927799999999</v>
      </c>
      <c r="G10" s="18">
        <v>0.15629984899999999</v>
      </c>
      <c r="H10" s="18">
        <v>0.10984432299999999</v>
      </c>
      <c r="I10" s="18">
        <v>0.16213202400000001</v>
      </c>
      <c r="J10" s="18">
        <v>9.8268490999999999E-2</v>
      </c>
      <c r="K10" s="18">
        <v>0.10800000799999999</v>
      </c>
      <c r="L10" s="18">
        <v>9.7435361999999998E-2</v>
      </c>
      <c r="M10" s="18">
        <v>7.8968981999999993E-2</v>
      </c>
      <c r="N10" s="18">
        <v>8.2834122999999996E-2</v>
      </c>
      <c r="O10" s="18">
        <v>4.4008765999999998E-2</v>
      </c>
      <c r="P10" s="18">
        <v>6.3870640000000006E-2</v>
      </c>
      <c r="Q10" s="18">
        <v>6.9268884293985034E-2</v>
      </c>
      <c r="R10" s="18">
        <v>9.9199999999999997E-2</v>
      </c>
      <c r="S10" s="18">
        <v>0.44952990998589898</v>
      </c>
      <c r="T10" s="18">
        <v>0.41285827899999999</v>
      </c>
      <c r="U10" s="18">
        <v>0.40065915400000002</v>
      </c>
      <c r="V10" s="18">
        <v>0.37143491699999998</v>
      </c>
      <c r="W10" s="18">
        <v>0.39273888000000001</v>
      </c>
      <c r="X10" s="18">
        <v>0.34547198800000001</v>
      </c>
      <c r="Y10" s="18">
        <v>0.35279188700000003</v>
      </c>
      <c r="Z10" s="18">
        <v>0.363348</v>
      </c>
      <c r="AA10" s="18">
        <v>0.38132149799999998</v>
      </c>
      <c r="AB10" s="18">
        <v>0.32642553899999999</v>
      </c>
      <c r="AC10" s="18">
        <v>0.30045429899999998</v>
      </c>
      <c r="AD10" s="18">
        <v>0.32692666799999998</v>
      </c>
      <c r="AE10" s="18">
        <v>0.34920873400000002</v>
      </c>
      <c r="AF10" s="18">
        <v>0.292211267</v>
      </c>
      <c r="AG10" s="18">
        <v>0.25849797860420398</v>
      </c>
      <c r="AH10" s="18">
        <v>0.28089999999999998</v>
      </c>
      <c r="AI10" s="18">
        <v>0.30277812791347197</v>
      </c>
      <c r="AJ10" s="18">
        <v>0.30282077299999999</v>
      </c>
      <c r="AK10" s="18">
        <v>0.311278956</v>
      </c>
      <c r="AL10" s="18">
        <v>0.362195716</v>
      </c>
      <c r="AM10" s="18">
        <v>0.36551702899999999</v>
      </c>
      <c r="AN10" s="18">
        <v>0.40974678399999998</v>
      </c>
      <c r="AO10" s="18">
        <v>0.38171870499999999</v>
      </c>
      <c r="AP10" s="18">
        <v>0.37106250299999999</v>
      </c>
      <c r="AQ10" s="18">
        <v>0.34346087600000003</v>
      </c>
      <c r="AR10" s="18">
        <v>0.39567586599999999</v>
      </c>
      <c r="AS10" s="18">
        <v>0.44750592300000003</v>
      </c>
      <c r="AT10" s="18">
        <v>0.42502769899999998</v>
      </c>
      <c r="AU10" s="18">
        <v>0.440102665</v>
      </c>
      <c r="AV10" s="18">
        <v>0.44362908299999998</v>
      </c>
      <c r="AW10" s="18">
        <v>0.51026302588119699</v>
      </c>
      <c r="AX10" s="18">
        <v>0.50239999999999996</v>
      </c>
      <c r="AY10" s="18">
        <v>4.5158868488814299E-2</v>
      </c>
      <c r="AZ10" s="18">
        <v>7.3117868000000003E-2</v>
      </c>
      <c r="BA10" s="18">
        <v>7.4293754000000004E-2</v>
      </c>
      <c r="BB10" s="18">
        <v>0.120080089</v>
      </c>
      <c r="BC10" s="18">
        <v>8.5444241000000004E-2</v>
      </c>
      <c r="BD10" s="18">
        <v>0.134936905</v>
      </c>
      <c r="BE10" s="18">
        <v>0.103357384</v>
      </c>
      <c r="BF10" s="18">
        <v>0.16732100599999999</v>
      </c>
      <c r="BG10" s="18">
        <v>0.16721761800000001</v>
      </c>
      <c r="BH10" s="18">
        <v>0.180463233</v>
      </c>
      <c r="BI10" s="18">
        <v>0.173070795</v>
      </c>
      <c r="BJ10" s="18">
        <v>0.16521151000000001</v>
      </c>
      <c r="BK10" s="18">
        <v>0.166679834</v>
      </c>
      <c r="BL10" s="18">
        <v>0.20028900999999999</v>
      </c>
      <c r="BM10" s="18">
        <v>0.161970111220614</v>
      </c>
      <c r="BN10" s="18">
        <v>0.11749999999999999</v>
      </c>
      <c r="BO10" s="18">
        <v>9.9199999999999997E-2</v>
      </c>
      <c r="BP10" s="18">
        <v>0.28089999999999998</v>
      </c>
      <c r="BQ10" s="18">
        <v>0.78329999999999989</v>
      </c>
      <c r="BR10" s="18">
        <v>0.50239999999999996</v>
      </c>
      <c r="BS10" s="43">
        <v>0.75209999999999999</v>
      </c>
      <c r="BT10" s="43">
        <v>2.8500000000000001E-2</v>
      </c>
      <c r="BU10" s="18">
        <v>0.77649999999999997</v>
      </c>
      <c r="BV10" s="18">
        <v>7.8600000000000003E-2</v>
      </c>
      <c r="BW10" s="18">
        <v>0.7379</v>
      </c>
      <c r="BX10" s="18">
        <v>0.1028</v>
      </c>
      <c r="BY10" s="18">
        <v>0.70720000000000005</v>
      </c>
      <c r="BZ10" s="18">
        <v>0.11</v>
      </c>
      <c r="CA10" s="18">
        <v>0.73299999999999998</v>
      </c>
      <c r="CB10" s="18">
        <v>9.8299999999999998E-2</v>
      </c>
      <c r="CC10" s="18">
        <v>0.75209999999999999</v>
      </c>
      <c r="CD10" s="18">
        <v>2.8500000000000001E-2</v>
      </c>
      <c r="CE10" s="18">
        <v>0.83909999999999996</v>
      </c>
      <c r="CF10" s="18">
        <v>3.5499999999999997E-2</v>
      </c>
      <c r="CG10" s="18">
        <v>0.78080000000000005</v>
      </c>
      <c r="CH10" s="18">
        <v>6.5699999999999995E-2</v>
      </c>
      <c r="CI10" s="18">
        <v>0.74819999999999998</v>
      </c>
      <c r="CJ10" s="18">
        <v>6.8000000000000005E-2</v>
      </c>
      <c r="CK10" s="18">
        <v>0.69710000000000005</v>
      </c>
      <c r="CL10" s="18">
        <v>8.2000000000000003E-2</v>
      </c>
      <c r="CM10" s="18">
        <v>0.8054</v>
      </c>
      <c r="CN10" s="18">
        <v>4.9700000000000001E-2</v>
      </c>
      <c r="CO10" s="18">
        <v>0.501</v>
      </c>
      <c r="CP10" s="18">
        <v>0.26469999999999999</v>
      </c>
      <c r="CQ10" s="18">
        <v>0.65610000000000002</v>
      </c>
      <c r="CR10" s="18">
        <v>0.1719</v>
      </c>
      <c r="CS10" s="18">
        <v>0.83120000000000005</v>
      </c>
      <c r="CT10" s="18">
        <v>6.8599999999999994E-2</v>
      </c>
      <c r="CU10" s="18">
        <v>0.7319</v>
      </c>
      <c r="CV10" s="18">
        <v>0.1066</v>
      </c>
      <c r="CW10" s="18">
        <v>0.69179999999999997</v>
      </c>
      <c r="CX10" s="18">
        <v>0.124</v>
      </c>
      <c r="CY10" s="18">
        <v>0.80010000000000003</v>
      </c>
      <c r="CZ10" s="18">
        <v>5.74E-2</v>
      </c>
      <c r="DA10" s="18">
        <v>0.8528</v>
      </c>
      <c r="DB10" s="18">
        <v>7.1999999999999998E-3</v>
      </c>
      <c r="DC10" s="18">
        <v>0.80059999999999998</v>
      </c>
      <c r="DD10" s="18">
        <v>7.1599999999999997E-2</v>
      </c>
    </row>
    <row r="11" spans="1:109" x14ac:dyDescent="0.3">
      <c r="A11" t="s">
        <v>149</v>
      </c>
      <c r="B11">
        <v>1092</v>
      </c>
      <c r="C11" s="18">
        <v>0.20714688487341601</v>
      </c>
      <c r="D11" s="18">
        <v>0.219923701</v>
      </c>
      <c r="E11" s="18">
        <v>0.21338073199999999</v>
      </c>
      <c r="F11" s="18">
        <v>0.196869871</v>
      </c>
      <c r="G11" s="18">
        <v>0.16335895</v>
      </c>
      <c r="H11" s="18">
        <v>0.115216501</v>
      </c>
      <c r="I11" s="18">
        <v>0.119147687</v>
      </c>
      <c r="J11" s="18">
        <v>0.109330497</v>
      </c>
      <c r="K11" s="18">
        <v>9.8397892000000001E-2</v>
      </c>
      <c r="L11" s="18">
        <v>8.3349835999999997E-2</v>
      </c>
      <c r="M11" s="18">
        <v>7.2142553999999998E-2</v>
      </c>
      <c r="N11" s="18">
        <v>7.1471608000000006E-2</v>
      </c>
      <c r="O11" s="18">
        <v>5.1598078999999998E-2</v>
      </c>
      <c r="P11" s="18">
        <v>4.6611719000000003E-2</v>
      </c>
      <c r="Q11" s="18">
        <v>6.527724102230989E-2</v>
      </c>
      <c r="R11" s="18">
        <v>9.0999999999999998E-2</v>
      </c>
      <c r="S11" s="18">
        <v>0.48564462095709499</v>
      </c>
      <c r="T11" s="18">
        <v>0.42550510899999999</v>
      </c>
      <c r="U11" s="18">
        <v>0.37880341200000001</v>
      </c>
      <c r="V11" s="18">
        <v>0.33835324700000002</v>
      </c>
      <c r="W11" s="18">
        <v>0.36940703000000003</v>
      </c>
      <c r="X11" s="18">
        <v>0.31835490300000002</v>
      </c>
      <c r="Y11" s="18">
        <v>0.39093208299999999</v>
      </c>
      <c r="Z11" s="18">
        <v>0.32720235199999997</v>
      </c>
      <c r="AA11" s="18">
        <v>0.34711637000000001</v>
      </c>
      <c r="AB11" s="18">
        <v>0.33844576599999998</v>
      </c>
      <c r="AC11" s="18">
        <v>0.32329584099999997</v>
      </c>
      <c r="AD11" s="18">
        <v>0.30793079800000001</v>
      </c>
      <c r="AE11" s="18">
        <v>0.33592424300000001</v>
      </c>
      <c r="AF11" s="18">
        <v>0.308124697</v>
      </c>
      <c r="AG11" s="18">
        <v>0.26251622533341329</v>
      </c>
      <c r="AH11" s="18">
        <v>0.28649999999999998</v>
      </c>
      <c r="AI11" s="18">
        <v>0.26404770787013898</v>
      </c>
      <c r="AJ11" s="18">
        <v>0.30985326499999999</v>
      </c>
      <c r="AK11" s="18">
        <v>0.32623938499999999</v>
      </c>
      <c r="AL11" s="18">
        <v>0.37256314499999998</v>
      </c>
      <c r="AM11" s="18">
        <v>0.36929767099999999</v>
      </c>
      <c r="AN11" s="18">
        <v>0.437317662</v>
      </c>
      <c r="AO11" s="18">
        <v>0.36623989200000001</v>
      </c>
      <c r="AP11" s="18">
        <v>0.41939469600000001</v>
      </c>
      <c r="AQ11" s="18">
        <v>0.43872677799999998</v>
      </c>
      <c r="AR11" s="18">
        <v>0.40607958799999999</v>
      </c>
      <c r="AS11" s="18">
        <v>0.44952257000000001</v>
      </c>
      <c r="AT11" s="18">
        <v>0.439361471</v>
      </c>
      <c r="AU11" s="18">
        <v>0.44398278400000002</v>
      </c>
      <c r="AV11" s="18">
        <v>0.468709559</v>
      </c>
      <c r="AW11" s="18">
        <v>0.50427912857945445</v>
      </c>
      <c r="AX11" s="18">
        <v>0.50870000000000004</v>
      </c>
      <c r="AY11" s="18">
        <v>4.3160786299348698E-2</v>
      </c>
      <c r="AZ11" s="18">
        <v>4.4717924999999999E-2</v>
      </c>
      <c r="BA11" s="18">
        <v>8.1576469999999998E-2</v>
      </c>
      <c r="BB11" s="18">
        <v>9.2213737000000004E-2</v>
      </c>
      <c r="BC11" s="18">
        <v>9.7936349000000006E-2</v>
      </c>
      <c r="BD11" s="18">
        <v>0.12911093400000001</v>
      </c>
      <c r="BE11" s="18">
        <v>0.123680338</v>
      </c>
      <c r="BF11" s="18">
        <v>0.14407245499999999</v>
      </c>
      <c r="BG11" s="18">
        <v>0.11575895899999999</v>
      </c>
      <c r="BH11" s="18">
        <v>0.17212481099999999</v>
      </c>
      <c r="BI11" s="18">
        <v>0.15503903499999999</v>
      </c>
      <c r="BJ11" s="18">
        <v>0.181236123</v>
      </c>
      <c r="BK11" s="18">
        <v>0.16849489400000001</v>
      </c>
      <c r="BL11" s="18">
        <v>0.176554025</v>
      </c>
      <c r="BM11" s="18">
        <v>0.1679274050648224</v>
      </c>
      <c r="BN11" s="18">
        <v>0.1138</v>
      </c>
      <c r="BO11" s="18">
        <v>9.0999999999999998E-2</v>
      </c>
      <c r="BP11" s="18">
        <v>0.28649999999999998</v>
      </c>
      <c r="BQ11" s="18">
        <v>0.79520000000000002</v>
      </c>
      <c r="BR11" s="18">
        <v>0.50870000000000004</v>
      </c>
      <c r="BS11" s="43">
        <v>0.78100000000000003</v>
      </c>
      <c r="BT11" s="43">
        <v>1.5800000000000002E-2</v>
      </c>
      <c r="BU11" s="18">
        <v>0.77480000000000004</v>
      </c>
      <c r="BV11" s="18">
        <v>7.6600000000000001E-2</v>
      </c>
      <c r="BW11" s="18">
        <v>0.74019999999999997</v>
      </c>
      <c r="BX11" s="18">
        <v>0.10199999999999999</v>
      </c>
      <c r="BY11" s="18">
        <v>0.70709999999999995</v>
      </c>
      <c r="BZ11" s="18">
        <v>0.1237</v>
      </c>
      <c r="CA11" s="18">
        <v>0.72340000000000004</v>
      </c>
      <c r="CB11" s="18">
        <v>0.1071</v>
      </c>
      <c r="CC11" s="18">
        <v>0.78100000000000003</v>
      </c>
      <c r="CD11" s="18">
        <v>1.5800000000000002E-2</v>
      </c>
      <c r="CE11" s="18">
        <v>0.88109999999999999</v>
      </c>
      <c r="CF11" s="18">
        <v>3.8199999999999998E-2</v>
      </c>
      <c r="CG11" s="18">
        <v>0.79700000000000004</v>
      </c>
      <c r="CH11" s="18">
        <v>6.2600000000000003E-2</v>
      </c>
      <c r="CI11" s="18">
        <v>0.73909999999999998</v>
      </c>
      <c r="CJ11" s="18">
        <v>9.8299999999999998E-2</v>
      </c>
      <c r="CK11" s="18">
        <v>0.70909999999999995</v>
      </c>
      <c r="CL11" s="18">
        <v>8.4599999999999995E-2</v>
      </c>
      <c r="CM11" s="18">
        <v>0.81359999999999999</v>
      </c>
      <c r="CN11" s="18">
        <v>4.9299999999999997E-2</v>
      </c>
      <c r="CO11" s="18">
        <v>0.53510000000000002</v>
      </c>
      <c r="CP11" s="18">
        <v>0.25230000000000002</v>
      </c>
      <c r="CQ11" s="18">
        <v>0.67159999999999997</v>
      </c>
      <c r="CR11" s="18">
        <v>0.18720000000000001</v>
      </c>
      <c r="CS11" s="18">
        <v>0.82630000000000003</v>
      </c>
      <c r="CT11" s="18">
        <v>8.2500000000000004E-2</v>
      </c>
      <c r="CU11" s="18">
        <v>0.74609999999999999</v>
      </c>
      <c r="CV11" s="18">
        <v>0.1075</v>
      </c>
      <c r="CW11" s="18">
        <v>0.71030000000000004</v>
      </c>
      <c r="CX11" s="18">
        <v>0.12089999999999999</v>
      </c>
      <c r="CY11" s="18">
        <v>0.80600000000000005</v>
      </c>
      <c r="CZ11" s="18">
        <v>5.0299999999999997E-2</v>
      </c>
      <c r="DA11" s="18">
        <v>0.88460000000000005</v>
      </c>
      <c r="DB11" s="18">
        <v>7.9000000000000008E-3</v>
      </c>
      <c r="DC11" s="18">
        <v>0.81640000000000001</v>
      </c>
      <c r="DD11" s="18">
        <v>6.7500000000000004E-2</v>
      </c>
    </row>
    <row r="12" spans="1:109" s="37" customFormat="1" x14ac:dyDescent="0.3">
      <c r="A12" s="37" t="s">
        <v>226</v>
      </c>
      <c r="B12" s="37">
        <v>13266</v>
      </c>
      <c r="C12" s="18">
        <v>0.2</v>
      </c>
      <c r="D12" s="18">
        <v>0.20479999999999998</v>
      </c>
      <c r="E12" s="18">
        <v>0.18480000000000002</v>
      </c>
      <c r="F12" s="18">
        <v>0.17609999999999998</v>
      </c>
      <c r="G12" s="18">
        <v>0.1439</v>
      </c>
      <c r="H12" s="18">
        <v>0.1147</v>
      </c>
      <c r="I12" s="18">
        <v>0.14610000000000001</v>
      </c>
      <c r="J12" s="18">
        <v>0.1133</v>
      </c>
      <c r="K12" s="18">
        <v>0.1052</v>
      </c>
      <c r="L12" s="18">
        <v>8.4000000000000005E-2</v>
      </c>
      <c r="M12" s="18">
        <v>7.4099999999999999E-2</v>
      </c>
      <c r="N12" s="18">
        <v>7.1300000000000002E-2</v>
      </c>
      <c r="O12" s="18">
        <v>5.4699999999999999E-2</v>
      </c>
      <c r="P12" s="18">
        <v>5.6899999999999999E-2</v>
      </c>
      <c r="Q12" s="18">
        <v>7.032265526714844E-2</v>
      </c>
      <c r="R12" s="18">
        <v>8.8999999999999996E-2</v>
      </c>
      <c r="S12" s="18">
        <v>0.46</v>
      </c>
      <c r="T12" s="18">
        <v>0.4249</v>
      </c>
      <c r="U12" s="18">
        <v>0.38119999999999998</v>
      </c>
      <c r="V12" s="18">
        <v>0.3579</v>
      </c>
      <c r="W12" s="18">
        <v>0.37490000000000001</v>
      </c>
      <c r="X12" s="18">
        <v>0.33700000000000002</v>
      </c>
      <c r="Y12" s="18">
        <v>0.38219999999999998</v>
      </c>
      <c r="Z12" s="18">
        <v>0.3523</v>
      </c>
      <c r="AA12" s="18">
        <v>0.36969999999999997</v>
      </c>
      <c r="AB12" s="18">
        <v>0.35349999999999998</v>
      </c>
      <c r="AC12" s="18">
        <v>0.30759999999999998</v>
      </c>
      <c r="AD12" s="18">
        <v>0.32819999999999999</v>
      </c>
      <c r="AE12" s="18">
        <v>0.34420000000000001</v>
      </c>
      <c r="AF12" s="18">
        <v>0.30409999999999998</v>
      </c>
      <c r="AG12" s="18">
        <v>0.2757</v>
      </c>
      <c r="AH12" s="18">
        <v>0.29149999999999998</v>
      </c>
      <c r="AI12" s="18">
        <v>0.28999999999999998</v>
      </c>
      <c r="AJ12" s="18">
        <v>0.31969999999999998</v>
      </c>
      <c r="AK12" s="18">
        <v>0.36040000000000005</v>
      </c>
      <c r="AL12" s="18">
        <v>0.36869999999999997</v>
      </c>
      <c r="AM12" s="18">
        <v>0.3821</v>
      </c>
      <c r="AN12" s="18">
        <v>0.41970000000000002</v>
      </c>
      <c r="AO12" s="18">
        <v>0.36799999999999999</v>
      </c>
      <c r="AP12" s="18">
        <v>0.38650000000000001</v>
      </c>
      <c r="AQ12" s="18">
        <v>0.39290000000000003</v>
      </c>
      <c r="AR12" s="18">
        <v>0.39269999999999999</v>
      </c>
      <c r="AS12" s="18">
        <v>0.46129999999999999</v>
      </c>
      <c r="AT12" s="18">
        <v>0.44240000000000002</v>
      </c>
      <c r="AU12" s="18">
        <v>0.44929999999999998</v>
      </c>
      <c r="AV12" s="18">
        <v>0.4551</v>
      </c>
      <c r="AW12" s="18">
        <v>0.4919906881821271</v>
      </c>
      <c r="AX12" s="18">
        <v>0.50329999999999997</v>
      </c>
      <c r="AY12" s="18">
        <v>0.04</v>
      </c>
      <c r="AZ12" s="18">
        <v>5.0499999999999996E-2</v>
      </c>
      <c r="BA12" s="18">
        <v>7.3599999999999999E-2</v>
      </c>
      <c r="BB12" s="18">
        <v>9.7299999999999998E-2</v>
      </c>
      <c r="BC12" s="18">
        <v>9.9000000000000005E-2</v>
      </c>
      <c r="BD12" s="18">
        <v>0.12859999999999999</v>
      </c>
      <c r="BE12" s="18">
        <v>0.1037</v>
      </c>
      <c r="BF12" s="18">
        <v>0.14779999999999999</v>
      </c>
      <c r="BG12" s="18">
        <v>0.13220000000000001</v>
      </c>
      <c r="BH12" s="18">
        <v>0.16969999999999999</v>
      </c>
      <c r="BI12" s="18">
        <v>0.157</v>
      </c>
      <c r="BJ12" s="18">
        <v>0.15820000000000001</v>
      </c>
      <c r="BK12" s="18">
        <v>0.1517</v>
      </c>
      <c r="BL12" s="18">
        <v>0.18390000000000001</v>
      </c>
      <c r="BM12" s="18">
        <v>0.16201580035471</v>
      </c>
      <c r="BN12" s="18">
        <v>0.1162</v>
      </c>
      <c r="BO12" s="18">
        <v>8.8999999999999996E-2</v>
      </c>
      <c r="BP12" s="18">
        <v>0.29149999999999998</v>
      </c>
      <c r="BQ12" s="18">
        <v>0.79479999999999995</v>
      </c>
      <c r="BR12" s="18">
        <v>0.50329999999999997</v>
      </c>
      <c r="BS12" s="43">
        <v>0.78449999999999998</v>
      </c>
      <c r="BT12" s="43">
        <v>2.1399999999999999E-2</v>
      </c>
      <c r="BU12" s="18">
        <v>0.78069999999999995</v>
      </c>
      <c r="BV12" s="18">
        <v>6.9699999999999998E-2</v>
      </c>
      <c r="BW12" s="18">
        <v>0.73170000000000002</v>
      </c>
      <c r="BX12" s="18">
        <v>0.1017</v>
      </c>
      <c r="BY12" s="18">
        <v>0.69059999999999999</v>
      </c>
      <c r="BZ12" s="18">
        <v>0.1197</v>
      </c>
      <c r="CA12" s="18">
        <v>0.71579999999999999</v>
      </c>
      <c r="CB12" s="18">
        <v>0.1095</v>
      </c>
      <c r="CC12" s="18">
        <v>0.78449999999999998</v>
      </c>
      <c r="CD12" s="18">
        <v>2.1399999999999999E-2</v>
      </c>
      <c r="CE12" s="18">
        <v>0.86060000000000003</v>
      </c>
      <c r="CF12" s="18">
        <v>3.5999999999999997E-2</v>
      </c>
      <c r="CG12" s="18">
        <v>0.79390000000000005</v>
      </c>
      <c r="CH12" s="18">
        <v>5.4800000000000001E-2</v>
      </c>
      <c r="CI12" s="18">
        <v>0.71389999999999998</v>
      </c>
      <c r="CJ12" s="18">
        <v>7.2400000000000006E-2</v>
      </c>
      <c r="CK12" s="18">
        <v>0.70299999999999996</v>
      </c>
      <c r="CL12" s="18">
        <v>8.1900000000000001E-2</v>
      </c>
      <c r="CM12" s="18">
        <v>0.81950000000000001</v>
      </c>
      <c r="CN12" s="18">
        <v>4.7100000000000003E-2</v>
      </c>
      <c r="CO12" s="18">
        <v>0.53269999999999995</v>
      </c>
      <c r="CP12" s="18">
        <v>0.24660000000000001</v>
      </c>
      <c r="CQ12" s="18">
        <v>0.65739999999999998</v>
      </c>
      <c r="CR12" s="18">
        <v>0.1855</v>
      </c>
      <c r="CS12" s="18">
        <v>0.80989999999999995</v>
      </c>
      <c r="CT12" s="18">
        <v>8.2100000000000006E-2</v>
      </c>
      <c r="CU12" s="18">
        <v>0.73529999999999995</v>
      </c>
      <c r="CV12" s="18">
        <v>0.1096</v>
      </c>
      <c r="CW12" s="18">
        <v>0.70250000000000001</v>
      </c>
      <c r="CX12" s="18">
        <v>0.1265</v>
      </c>
      <c r="CY12" s="18">
        <v>0.81110000000000004</v>
      </c>
      <c r="CZ12" s="18">
        <v>4.8399999999999999E-2</v>
      </c>
      <c r="DA12" s="18">
        <v>0.87670000000000003</v>
      </c>
      <c r="DB12" s="18">
        <v>7.1000000000000004E-3</v>
      </c>
      <c r="DC12" s="18">
        <v>0.80489999999999995</v>
      </c>
      <c r="DD12" s="18">
        <v>6.7100000000000007E-2</v>
      </c>
    </row>
    <row r="13" spans="1:109" x14ac:dyDescent="0.3">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41"/>
      <c r="BW13" s="41"/>
      <c r="BX13" s="41"/>
      <c r="BY13" s="41"/>
      <c r="BZ13" s="41"/>
      <c r="CA13" s="41"/>
      <c r="CB13" s="41"/>
      <c r="CC13" s="41"/>
      <c r="CD13" s="41"/>
      <c r="CE13" s="41"/>
      <c r="CF13" s="41"/>
      <c r="CG13" s="41"/>
      <c r="CH13" s="41"/>
      <c r="CI13" s="21"/>
      <c r="CJ13" s="21"/>
      <c r="CK13" s="21"/>
      <c r="CL13" s="21"/>
      <c r="CM13" s="21"/>
      <c r="CN13" s="21"/>
      <c r="CO13" s="21"/>
      <c r="CP13" s="21"/>
      <c r="CQ13" s="21"/>
      <c r="CR13" s="21"/>
      <c r="CS13" s="21"/>
      <c r="CT13" s="21"/>
      <c r="CU13" s="21"/>
      <c r="CV13" s="21"/>
      <c r="CW13" s="21"/>
      <c r="CX13" s="21"/>
      <c r="CY13" s="21"/>
      <c r="CZ13" s="21"/>
      <c r="DA13" s="21"/>
      <c r="DB13" s="21"/>
    </row>
    <row r="14" spans="1:109" x14ac:dyDescent="0.3">
      <c r="BQ14" s="21"/>
      <c r="BR14" s="33"/>
      <c r="BS14" s="33"/>
      <c r="BT14" s="33"/>
      <c r="BU14" s="34"/>
      <c r="BV14" s="34"/>
      <c r="BW14" s="34"/>
      <c r="BX14" s="34"/>
      <c r="BY14" s="34"/>
      <c r="BZ14" s="34"/>
      <c r="CA14" s="34"/>
      <c r="CB14" s="34"/>
      <c r="CC14" s="34"/>
      <c r="CD14" s="34"/>
      <c r="CE14" s="34"/>
      <c r="CF14" s="34"/>
      <c r="CG14" s="34"/>
      <c r="CH14" s="34"/>
    </row>
    <row r="15" spans="1:109" x14ac:dyDescent="0.3">
      <c r="C15" s="39"/>
      <c r="D15" s="39"/>
      <c r="E15" s="39"/>
      <c r="F15" s="39"/>
      <c r="G15" s="39"/>
      <c r="H15" s="39"/>
      <c r="I15" s="39"/>
      <c r="J15" s="39"/>
      <c r="K15" s="39"/>
      <c r="M15" s="39"/>
      <c r="N15" s="39"/>
      <c r="O15" s="39"/>
      <c r="P15" s="39"/>
      <c r="Q15" s="39"/>
      <c r="R15" s="39"/>
      <c r="S15" s="39"/>
      <c r="T15" s="39"/>
      <c r="U15" s="39"/>
      <c r="BQ15" s="21"/>
      <c r="BR15" s="33"/>
      <c r="BS15" s="33"/>
      <c r="BT15" s="33"/>
      <c r="BU15" s="35"/>
      <c r="BV15" s="35"/>
      <c r="BW15" s="35"/>
      <c r="BX15" s="35"/>
      <c r="BY15" s="35"/>
      <c r="BZ15" s="35"/>
      <c r="CA15" s="35"/>
      <c r="CB15" s="35"/>
      <c r="CC15" s="35"/>
      <c r="CD15" s="35"/>
      <c r="CE15" s="35"/>
      <c r="CF15" s="35"/>
      <c r="CG15" s="35"/>
      <c r="CH15" s="35"/>
      <c r="CW15" s="39"/>
      <c r="CX15" s="39"/>
      <c r="CY15" s="39"/>
      <c r="CZ15" s="39"/>
      <c r="DA15" s="39"/>
      <c r="DB15" s="39"/>
      <c r="DC15" s="39"/>
      <c r="DD15" s="39"/>
      <c r="DE15" s="39"/>
    </row>
    <row r="16" spans="1:109" x14ac:dyDescent="0.3">
      <c r="C16" s="40"/>
      <c r="D16" s="40"/>
      <c r="E16" s="40"/>
      <c r="F16" s="40"/>
      <c r="G16" s="40"/>
      <c r="H16" s="40"/>
      <c r="I16" s="40"/>
      <c r="J16" s="40"/>
      <c r="K16" s="40"/>
      <c r="M16" s="35"/>
      <c r="N16" s="35"/>
      <c r="O16" s="35"/>
      <c r="P16" s="35"/>
      <c r="Q16" s="35"/>
      <c r="R16" s="35"/>
      <c r="S16" s="35"/>
      <c r="T16" s="35"/>
      <c r="U16" s="35"/>
      <c r="BQ16" s="21"/>
      <c r="BR16" s="33"/>
      <c r="BS16" s="39"/>
      <c r="BT16" s="39"/>
      <c r="BU16" s="39"/>
      <c r="BV16" s="39"/>
      <c r="BW16" s="39"/>
      <c r="BX16" s="39"/>
      <c r="BY16" s="39"/>
      <c r="BZ16" s="39"/>
      <c r="CA16" s="39"/>
      <c r="CB16" s="39"/>
      <c r="CC16" s="39"/>
      <c r="CD16" s="35"/>
      <c r="CE16" s="35"/>
      <c r="CF16" s="35"/>
      <c r="CG16" s="39"/>
      <c r="CH16" s="39"/>
      <c r="CI16" s="39"/>
      <c r="CJ16" s="39"/>
      <c r="CK16" s="39"/>
      <c r="CW16" s="35"/>
      <c r="CX16" s="35"/>
      <c r="CY16" s="35"/>
      <c r="CZ16" s="35"/>
      <c r="DA16" s="35"/>
      <c r="DB16" s="35"/>
      <c r="DC16" s="35"/>
      <c r="DD16" s="35"/>
      <c r="DE16" s="35"/>
    </row>
    <row r="17" spans="13:109" x14ac:dyDescent="0.3">
      <c r="M17" s="34"/>
      <c r="N17" s="34"/>
      <c r="O17" s="34"/>
      <c r="P17" s="34"/>
      <c r="Q17" s="34"/>
      <c r="R17" s="34"/>
      <c r="S17" s="34"/>
      <c r="T17" s="34"/>
      <c r="U17" s="34"/>
      <c r="BR17" s="33"/>
      <c r="BS17" s="35"/>
      <c r="BT17" s="35"/>
      <c r="BU17" s="35"/>
      <c r="BV17" s="35"/>
      <c r="BW17" s="35"/>
      <c r="BX17" s="35"/>
      <c r="BY17" s="35"/>
      <c r="BZ17" s="35"/>
      <c r="CA17" s="35"/>
      <c r="CB17" s="35"/>
      <c r="CC17" s="35"/>
      <c r="CD17" s="35"/>
      <c r="CE17" s="35"/>
      <c r="CF17" s="35"/>
      <c r="CG17" s="35"/>
      <c r="CH17" s="35"/>
      <c r="CI17" s="35"/>
      <c r="CJ17" s="35"/>
      <c r="CK17" s="35"/>
      <c r="CW17" s="35"/>
      <c r="CX17" s="35"/>
      <c r="CY17" s="35"/>
      <c r="CZ17" s="35"/>
      <c r="DA17" s="35"/>
      <c r="DB17" s="35"/>
      <c r="DC17" s="35"/>
      <c r="DD17" s="35"/>
      <c r="DE17" s="35"/>
    </row>
    <row r="18" spans="13:109" x14ac:dyDescent="0.3">
      <c r="M18" s="35"/>
      <c r="N18" s="35"/>
      <c r="O18" s="35"/>
      <c r="P18" s="35"/>
      <c r="Q18" s="35"/>
      <c r="R18" s="35"/>
      <c r="S18" s="35"/>
      <c r="T18" s="35"/>
      <c r="U18" s="35"/>
      <c r="BR18" s="33"/>
      <c r="BS18" s="35"/>
      <c r="BT18" s="35"/>
      <c r="BU18" s="35"/>
      <c r="BV18" s="35"/>
      <c r="BW18" s="35"/>
      <c r="BX18" s="35"/>
      <c r="BY18" s="35"/>
      <c r="BZ18" s="35"/>
      <c r="CA18" s="35"/>
      <c r="CB18" s="35"/>
      <c r="CC18" s="35"/>
      <c r="CD18" s="39"/>
      <c r="CE18" s="39"/>
      <c r="CF18" s="39"/>
      <c r="CG18" s="35"/>
      <c r="CH18" s="35"/>
      <c r="CI18" s="35"/>
      <c r="CJ18" s="35"/>
      <c r="CK18" s="35"/>
    </row>
    <row r="19" spans="13:109" x14ac:dyDescent="0.3">
      <c r="M19" s="35"/>
      <c r="N19" s="35"/>
      <c r="O19" s="35"/>
      <c r="P19" s="35"/>
      <c r="Q19" s="35"/>
      <c r="R19" s="35"/>
      <c r="S19" s="35"/>
      <c r="T19" s="35"/>
      <c r="U19" s="35"/>
      <c r="BR19" s="33"/>
      <c r="BS19" s="33"/>
      <c r="BT19" s="33"/>
      <c r="BU19" s="35"/>
      <c r="BV19" s="35"/>
      <c r="BW19" s="35"/>
      <c r="BX19" s="35"/>
      <c r="BY19" s="35"/>
      <c r="BZ19" s="35"/>
      <c r="CA19" s="35"/>
      <c r="CB19" s="35"/>
      <c r="CC19" s="35"/>
      <c r="CD19" s="35"/>
      <c r="CE19" s="35"/>
      <c r="CF19" s="35"/>
      <c r="CG19" s="35"/>
      <c r="CH19" s="35"/>
    </row>
    <row r="20" spans="13:109" x14ac:dyDescent="0.3">
      <c r="M20" s="21"/>
      <c r="N20" s="21"/>
      <c r="O20" s="21"/>
      <c r="P20" s="21"/>
      <c r="Q20" s="21"/>
      <c r="R20" s="21"/>
      <c r="S20" s="21"/>
      <c r="T20" s="21"/>
      <c r="U20" s="21"/>
      <c r="BR20" s="33"/>
      <c r="BS20" s="33"/>
      <c r="BT20" s="33"/>
      <c r="BU20" s="34"/>
      <c r="BV20" s="34"/>
      <c r="BW20" s="34"/>
      <c r="BX20" s="34"/>
      <c r="BY20" s="34"/>
      <c r="BZ20" s="34"/>
      <c r="CA20" s="34"/>
      <c r="CB20" s="34"/>
      <c r="CC20" s="34"/>
      <c r="CD20" s="35"/>
      <c r="CE20" s="35"/>
      <c r="CF20" s="35"/>
      <c r="CG20" s="34"/>
      <c r="CH20" s="34"/>
    </row>
    <row r="21" spans="13:109" x14ac:dyDescent="0.3">
      <c r="BR21" s="33"/>
      <c r="BS21" s="33"/>
      <c r="BT21" s="33"/>
      <c r="BU21" s="35"/>
      <c r="BV21" s="35"/>
      <c r="BW21" s="35"/>
      <c r="BX21" s="35"/>
      <c r="BY21" s="35"/>
      <c r="BZ21" s="35"/>
      <c r="CA21" s="35"/>
      <c r="CB21" s="35"/>
      <c r="CC21" s="35"/>
      <c r="CD21" s="34"/>
      <c r="CE21" s="34"/>
      <c r="CF21" s="34"/>
      <c r="CG21" s="35"/>
      <c r="CH21" s="35"/>
    </row>
    <row r="22" spans="13:109" x14ac:dyDescent="0.3">
      <c r="BR22" s="33"/>
      <c r="BS22" s="33"/>
      <c r="BT22" s="33"/>
      <c r="BU22" s="35"/>
      <c r="BV22" s="35"/>
      <c r="BW22" s="35"/>
      <c r="BX22" s="35"/>
      <c r="BY22" s="35"/>
      <c r="BZ22" s="35"/>
      <c r="CA22" s="35"/>
      <c r="CB22" s="35"/>
      <c r="CC22" s="35"/>
      <c r="CD22" s="35"/>
      <c r="CE22" s="35"/>
      <c r="CF22" s="35"/>
      <c r="CG22" s="35"/>
      <c r="CH22" s="35"/>
    </row>
    <row r="23" spans="13:109" x14ac:dyDescent="0.3">
      <c r="BR23" s="33"/>
      <c r="BS23" s="33"/>
      <c r="BT23" s="33"/>
      <c r="BU23" s="34"/>
      <c r="BV23" s="34"/>
      <c r="BW23" s="34"/>
      <c r="BX23" s="34"/>
      <c r="BY23" s="34"/>
      <c r="BZ23" s="34"/>
      <c r="CA23" s="34"/>
      <c r="CB23" s="34"/>
      <c r="CC23" s="34"/>
      <c r="CD23" s="34"/>
      <c r="CE23" s="34"/>
      <c r="CF23" s="34"/>
      <c r="CG23" s="34"/>
      <c r="CH23" s="34"/>
    </row>
    <row r="24" spans="13:109" x14ac:dyDescent="0.3">
      <c r="BR24" s="33"/>
      <c r="BS24" s="33"/>
      <c r="BT24" s="33"/>
      <c r="BU24" s="35"/>
      <c r="BV24" s="35"/>
      <c r="BW24" s="35"/>
      <c r="BX24" s="35"/>
      <c r="BY24" s="35"/>
      <c r="BZ24" s="35"/>
      <c r="CA24" s="35"/>
      <c r="CB24" s="35"/>
      <c r="CC24" s="35"/>
      <c r="CD24" s="35"/>
      <c r="CE24" s="35"/>
      <c r="CF24" s="35"/>
      <c r="CG24" s="35"/>
      <c r="CH24" s="35"/>
    </row>
    <row r="25" spans="13:109" x14ac:dyDescent="0.3">
      <c r="BR25" s="33"/>
      <c r="BS25" s="33"/>
      <c r="BT25" s="33"/>
      <c r="BU25" s="35"/>
      <c r="BV25" s="35"/>
      <c r="BW25" s="35"/>
      <c r="BX25" s="35"/>
      <c r="BY25" s="35"/>
      <c r="BZ25" s="35"/>
      <c r="CA25" s="35"/>
      <c r="CB25" s="35"/>
      <c r="CC25" s="35"/>
      <c r="CD25" s="35"/>
      <c r="CE25" s="35"/>
      <c r="CF25" s="35"/>
      <c r="CG25" s="35"/>
      <c r="CH25" s="35"/>
    </row>
    <row r="26" spans="13:109" x14ac:dyDescent="0.3">
      <c r="BR26" s="33"/>
      <c r="BS26" s="33"/>
      <c r="BT26" s="33"/>
      <c r="BU26" s="34"/>
      <c r="BV26" s="34"/>
      <c r="BW26" s="34"/>
      <c r="BX26" s="34"/>
      <c r="BY26" s="34"/>
      <c r="BZ26" s="34"/>
      <c r="CA26" s="34"/>
      <c r="CB26" s="34"/>
      <c r="CC26" s="34"/>
      <c r="CD26" s="34"/>
      <c r="CE26" s="34"/>
      <c r="CF26" s="34"/>
      <c r="CG26" s="34"/>
      <c r="CH26" s="34"/>
    </row>
    <row r="27" spans="13:109" x14ac:dyDescent="0.3">
      <c r="BR27" s="33"/>
      <c r="BS27" s="33"/>
      <c r="BT27" s="33"/>
      <c r="BU27" s="35"/>
      <c r="BV27" s="35"/>
      <c r="BW27" s="35"/>
      <c r="BX27" s="35"/>
      <c r="BY27" s="35"/>
      <c r="BZ27" s="35"/>
      <c r="CA27" s="35"/>
      <c r="CB27" s="35"/>
      <c r="CC27" s="35"/>
      <c r="CD27" s="35"/>
      <c r="CE27" s="35"/>
      <c r="CF27" s="35"/>
      <c r="CG27" s="35"/>
      <c r="CH27" s="35"/>
    </row>
    <row r="28" spans="13:109" x14ac:dyDescent="0.3">
      <c r="BR28" s="33"/>
      <c r="BS28" s="33"/>
      <c r="BT28" s="33"/>
      <c r="BU28" s="35"/>
      <c r="BV28" s="35"/>
      <c r="BW28" s="35"/>
      <c r="BX28" s="35"/>
      <c r="BY28" s="35"/>
      <c r="BZ28" s="35"/>
      <c r="CA28" s="35"/>
      <c r="CB28" s="35"/>
      <c r="CC28" s="35"/>
      <c r="CD28" s="35"/>
      <c r="CE28" s="35"/>
      <c r="CF28" s="35"/>
      <c r="CG28" s="35"/>
      <c r="CH28" s="35"/>
    </row>
    <row r="29" spans="13:109" x14ac:dyDescent="0.3">
      <c r="BR29" s="33"/>
      <c r="BS29" s="33"/>
      <c r="BT29" s="33"/>
      <c r="BU29" s="34"/>
      <c r="BV29" s="34"/>
      <c r="BW29" s="34"/>
      <c r="BX29" s="34"/>
      <c r="BY29" s="34"/>
      <c r="BZ29" s="34"/>
      <c r="CA29" s="34"/>
      <c r="CB29" s="34"/>
      <c r="CC29" s="34"/>
      <c r="CD29" s="34"/>
      <c r="CE29" s="34"/>
      <c r="CF29" s="34"/>
      <c r="CG29" s="34"/>
      <c r="CH29" s="34"/>
    </row>
    <row r="30" spans="13:109" x14ac:dyDescent="0.3">
      <c r="BR30" s="33"/>
      <c r="BS30" s="33"/>
      <c r="BT30" s="33"/>
      <c r="BU30" s="35"/>
      <c r="BV30" s="35"/>
      <c r="BW30" s="35"/>
      <c r="BX30" s="35"/>
      <c r="BY30" s="35"/>
      <c r="BZ30" s="35"/>
      <c r="CA30" s="35"/>
      <c r="CB30" s="35"/>
      <c r="CC30" s="35"/>
      <c r="CD30" s="35"/>
      <c r="CE30" s="35"/>
      <c r="CF30" s="35"/>
      <c r="CG30" s="35"/>
      <c r="CH30" s="35"/>
    </row>
    <row r="31" spans="13:109" x14ac:dyDescent="0.3">
      <c r="BR31" s="33"/>
      <c r="BS31" s="33"/>
      <c r="BT31" s="33"/>
      <c r="BU31" s="35"/>
      <c r="BV31" s="35"/>
      <c r="BW31" s="35"/>
      <c r="BX31" s="35"/>
      <c r="BY31" s="35"/>
      <c r="BZ31" s="35"/>
      <c r="CA31" s="35"/>
      <c r="CB31" s="35"/>
      <c r="CC31" s="35"/>
      <c r="CD31" s="35"/>
      <c r="CE31" s="35"/>
      <c r="CF31" s="35"/>
      <c r="CG31" s="35"/>
      <c r="CH31" s="35"/>
    </row>
    <row r="32" spans="13:109" x14ac:dyDescent="0.3">
      <c r="BR32" s="33"/>
      <c r="BS32" s="33"/>
      <c r="BT32" s="33"/>
      <c r="BU32" s="34"/>
      <c r="BV32" s="34"/>
      <c r="BW32" s="34"/>
      <c r="BX32" s="34"/>
      <c r="BY32" s="34"/>
      <c r="BZ32" s="34"/>
      <c r="CA32" s="34"/>
      <c r="CB32" s="34"/>
      <c r="CC32" s="34"/>
      <c r="CD32" s="34"/>
      <c r="CE32" s="34"/>
      <c r="CF32" s="34"/>
      <c r="CG32" s="34"/>
      <c r="CH32" s="34"/>
    </row>
    <row r="33" spans="70:86" x14ac:dyDescent="0.3">
      <c r="BR33" s="33"/>
      <c r="BS33" s="33"/>
      <c r="BT33" s="33"/>
      <c r="BU33" s="35"/>
      <c r="BV33" s="35"/>
      <c r="BW33" s="35"/>
      <c r="BX33" s="35"/>
      <c r="BY33" s="35"/>
      <c r="BZ33" s="35"/>
      <c r="CA33" s="35"/>
      <c r="CB33" s="35"/>
      <c r="CC33" s="35"/>
      <c r="CD33" s="35"/>
      <c r="CE33" s="35"/>
      <c r="CF33" s="35"/>
      <c r="CG33" s="35"/>
      <c r="CH33" s="35"/>
    </row>
    <row r="34" spans="70:86" x14ac:dyDescent="0.3">
      <c r="BR34" s="33"/>
      <c r="BS34" s="33"/>
      <c r="BT34" s="33"/>
      <c r="BU34" s="35"/>
      <c r="BV34" s="35"/>
      <c r="BW34" s="35"/>
      <c r="BX34" s="35"/>
      <c r="BY34" s="35"/>
      <c r="BZ34" s="35"/>
      <c r="CA34" s="35"/>
      <c r="CB34" s="35"/>
      <c r="CC34" s="35"/>
      <c r="CD34" s="35"/>
      <c r="CE34" s="35"/>
      <c r="CF34" s="35"/>
      <c r="CG34" s="35"/>
      <c r="CH34" s="35"/>
    </row>
    <row r="35" spans="70:86" x14ac:dyDescent="0.3">
      <c r="BR35" s="33"/>
      <c r="BS35" s="33"/>
      <c r="BT35" s="33"/>
      <c r="BU35" s="34"/>
      <c r="BV35" s="34"/>
      <c r="BW35" s="34"/>
      <c r="BX35" s="34"/>
      <c r="BY35" s="34"/>
      <c r="BZ35" s="34"/>
      <c r="CA35" s="34"/>
      <c r="CB35" s="34"/>
      <c r="CC35" s="34"/>
      <c r="CD35" s="34"/>
      <c r="CE35" s="34"/>
      <c r="CF35" s="34"/>
      <c r="CG35" s="34"/>
      <c r="CH35" s="34"/>
    </row>
    <row r="36" spans="70:86" x14ac:dyDescent="0.3">
      <c r="BR36" s="33"/>
      <c r="BS36" s="33"/>
      <c r="BT36" s="33"/>
      <c r="BU36" s="35"/>
      <c r="BV36" s="35"/>
      <c r="BW36" s="35"/>
      <c r="BX36" s="35"/>
      <c r="BY36" s="35"/>
      <c r="BZ36" s="35"/>
      <c r="CA36" s="35"/>
      <c r="CB36" s="35"/>
      <c r="CC36" s="35"/>
      <c r="CD36" s="35"/>
      <c r="CE36" s="35"/>
      <c r="CF36" s="35"/>
      <c r="CG36" s="35"/>
      <c r="CH36" s="35"/>
    </row>
    <row r="37" spans="70:86" x14ac:dyDescent="0.3">
      <c r="BR37" s="33"/>
      <c r="BS37" s="33"/>
      <c r="BT37" s="33"/>
      <c r="BU37" s="35"/>
      <c r="BV37" s="35"/>
      <c r="BW37" s="35"/>
      <c r="BX37" s="35"/>
      <c r="BY37" s="35"/>
      <c r="BZ37" s="35"/>
      <c r="CA37" s="35"/>
      <c r="CB37" s="35"/>
      <c r="CC37" s="35"/>
      <c r="CD37" s="35"/>
      <c r="CE37" s="35"/>
      <c r="CF37" s="35"/>
      <c r="CG37" s="35"/>
      <c r="CH37" s="35"/>
    </row>
    <row r="38" spans="70:86" x14ac:dyDescent="0.3">
      <c r="BR38" s="33"/>
      <c r="BS38" s="33"/>
      <c r="BT38" s="33"/>
      <c r="BU38" s="34"/>
      <c r="BV38" s="34"/>
      <c r="BW38" s="34"/>
      <c r="BX38" s="34"/>
      <c r="BY38" s="34"/>
      <c r="BZ38" s="34"/>
      <c r="CA38" s="34"/>
      <c r="CB38" s="34"/>
      <c r="CC38" s="34"/>
      <c r="CD38" s="34"/>
      <c r="CE38" s="34"/>
      <c r="CF38" s="34"/>
      <c r="CG38" s="34"/>
      <c r="CH38" s="34"/>
    </row>
    <row r="39" spans="70:86" x14ac:dyDescent="0.3">
      <c r="BR39" s="33"/>
      <c r="BS39" s="33"/>
      <c r="BT39" s="33"/>
      <c r="BU39" s="35"/>
      <c r="BV39" s="35"/>
      <c r="BW39" s="35"/>
      <c r="BX39" s="35"/>
      <c r="BY39" s="35"/>
      <c r="BZ39" s="35"/>
      <c r="CA39" s="35"/>
      <c r="CB39" s="35"/>
      <c r="CC39" s="35"/>
      <c r="CD39" s="35"/>
      <c r="CE39" s="35"/>
      <c r="CF39" s="35"/>
      <c r="CG39" s="35"/>
      <c r="CH39" s="35"/>
    </row>
    <row r="40" spans="70:86" x14ac:dyDescent="0.3">
      <c r="BR40" s="33"/>
      <c r="BS40" s="33"/>
      <c r="BT40" s="33"/>
      <c r="BU40" s="35"/>
      <c r="BV40" s="35"/>
      <c r="BW40" s="35"/>
      <c r="BX40" s="35"/>
      <c r="BY40" s="35"/>
      <c r="BZ40" s="35"/>
      <c r="CA40" s="35"/>
      <c r="CB40" s="35"/>
      <c r="CC40" s="35"/>
      <c r="CD40" s="35"/>
      <c r="CE40" s="35"/>
      <c r="CF40" s="35"/>
      <c r="CG40" s="35"/>
      <c r="CH40" s="35"/>
    </row>
    <row r="41" spans="70:86" x14ac:dyDescent="0.3">
      <c r="BR41" s="33"/>
      <c r="BS41" s="33"/>
      <c r="BT41" s="33"/>
      <c r="BU41" s="34"/>
      <c r="BV41" s="34"/>
      <c r="BW41" s="34"/>
      <c r="BX41" s="34"/>
      <c r="BY41" s="34"/>
      <c r="BZ41" s="34"/>
      <c r="CA41" s="34"/>
      <c r="CB41" s="34"/>
      <c r="CC41" s="34"/>
      <c r="CD41" s="34"/>
      <c r="CE41" s="34"/>
      <c r="CF41" s="34"/>
      <c r="CG41" s="34"/>
      <c r="CH41" s="34"/>
    </row>
    <row r="42" spans="70:86" x14ac:dyDescent="0.3">
      <c r="BR42" s="33"/>
      <c r="BS42" s="33"/>
      <c r="BT42" s="33"/>
      <c r="BU42" s="35"/>
      <c r="BV42" s="35"/>
      <c r="BW42" s="35"/>
      <c r="BX42" s="35"/>
      <c r="BY42" s="35"/>
      <c r="BZ42" s="35"/>
      <c r="CA42" s="35"/>
      <c r="CB42" s="35"/>
      <c r="CC42" s="35"/>
      <c r="CD42" s="35"/>
      <c r="CE42" s="35"/>
      <c r="CF42" s="35"/>
      <c r="CG42" s="35"/>
      <c r="CH42" s="35"/>
    </row>
    <row r="43" spans="70:86" x14ac:dyDescent="0.3">
      <c r="BR43" s="33"/>
      <c r="BS43" s="33"/>
      <c r="BT43" s="33"/>
      <c r="BU43" s="35"/>
      <c r="BV43" s="35"/>
      <c r="BW43" s="35"/>
      <c r="BX43" s="35"/>
      <c r="BY43" s="35"/>
      <c r="BZ43" s="35"/>
      <c r="CA43" s="35"/>
      <c r="CB43" s="35"/>
      <c r="CC43" s="35"/>
      <c r="CD43" s="35"/>
      <c r="CE43" s="35"/>
      <c r="CF43" s="35"/>
      <c r="CG43" s="35"/>
      <c r="CH43" s="35"/>
    </row>
    <row r="44" spans="70:86" x14ac:dyDescent="0.3">
      <c r="BR44" s="33"/>
      <c r="BS44" s="33"/>
      <c r="BT44" s="33"/>
      <c r="BU44" s="34"/>
      <c r="BV44" s="34"/>
      <c r="BW44" s="34"/>
      <c r="BX44" s="34"/>
      <c r="BY44" s="34"/>
      <c r="BZ44" s="34"/>
      <c r="CA44" s="34"/>
      <c r="CB44" s="34"/>
      <c r="CC44" s="34"/>
      <c r="CD44" s="34"/>
      <c r="CE44" s="34"/>
      <c r="CF44" s="34"/>
      <c r="CG44" s="34"/>
      <c r="CH44" s="34"/>
    </row>
    <row r="45" spans="70:86" x14ac:dyDescent="0.3">
      <c r="BR45" s="33"/>
      <c r="BS45" s="33"/>
      <c r="BT45" s="33"/>
      <c r="BU45" s="35"/>
      <c r="BV45" s="35"/>
      <c r="BW45" s="35"/>
      <c r="BX45" s="35"/>
      <c r="BY45" s="35"/>
      <c r="BZ45" s="35"/>
      <c r="CA45" s="35"/>
      <c r="CB45" s="35"/>
      <c r="CC45" s="35"/>
      <c r="CD45" s="35"/>
      <c r="CE45" s="35"/>
      <c r="CF45" s="35"/>
      <c r="CG45" s="35"/>
      <c r="CH45" s="35"/>
    </row>
    <row r="46" spans="70:86" x14ac:dyDescent="0.3">
      <c r="BR46" s="33"/>
      <c r="BS46" s="33"/>
      <c r="BT46" s="33"/>
      <c r="BU46" s="35"/>
      <c r="BV46" s="35"/>
      <c r="BW46" s="35"/>
      <c r="BX46" s="35"/>
      <c r="BY46" s="35"/>
      <c r="BZ46" s="35"/>
      <c r="CA46" s="35"/>
      <c r="CB46" s="35"/>
      <c r="CC46" s="35"/>
      <c r="CD46" s="35"/>
      <c r="CE46" s="35"/>
      <c r="CF46" s="35"/>
      <c r="CG46" s="35"/>
      <c r="CH46" s="35"/>
    </row>
    <row r="47" spans="70:86" x14ac:dyDescent="0.3">
      <c r="BR47" s="33"/>
      <c r="BS47" s="33"/>
      <c r="BT47" s="33"/>
      <c r="BU47" s="34"/>
      <c r="BV47" s="34"/>
      <c r="BW47" s="34"/>
      <c r="BX47" s="34"/>
      <c r="BY47" s="34"/>
      <c r="BZ47" s="34"/>
      <c r="CA47" s="34"/>
      <c r="CB47" s="34"/>
      <c r="CC47" s="34"/>
      <c r="CD47" s="34"/>
      <c r="CE47" s="34"/>
      <c r="CF47" s="34"/>
      <c r="CG47" s="34"/>
      <c r="CH47" s="34"/>
    </row>
    <row r="48" spans="70:86" x14ac:dyDescent="0.3">
      <c r="BR48" s="33"/>
      <c r="BS48" s="33"/>
      <c r="BT48" s="33"/>
      <c r="BU48" s="35"/>
      <c r="BV48" s="35"/>
      <c r="BW48" s="35"/>
      <c r="BX48" s="35"/>
      <c r="BY48" s="35"/>
      <c r="BZ48" s="35"/>
      <c r="CA48" s="35"/>
      <c r="CB48" s="35"/>
      <c r="CC48" s="35"/>
      <c r="CD48" s="35"/>
      <c r="CE48" s="35"/>
      <c r="CF48" s="35"/>
      <c r="CG48" s="35"/>
      <c r="CH48" s="35"/>
    </row>
    <row r="49" spans="70:86" x14ac:dyDescent="0.3">
      <c r="BR49" s="33"/>
      <c r="BS49" s="33"/>
      <c r="BT49" s="33"/>
      <c r="BU49" s="35"/>
      <c r="BV49" s="35"/>
      <c r="BW49" s="35"/>
      <c r="BX49" s="35"/>
      <c r="BY49" s="35"/>
      <c r="BZ49" s="35"/>
      <c r="CA49" s="35"/>
      <c r="CB49" s="35"/>
      <c r="CC49" s="35"/>
      <c r="CD49" s="35"/>
      <c r="CE49" s="35"/>
      <c r="CF49" s="35"/>
      <c r="CG49" s="35"/>
      <c r="CH49" s="35"/>
    </row>
    <row r="50" spans="70:86" x14ac:dyDescent="0.3">
      <c r="BR50" s="33"/>
      <c r="BS50" s="33"/>
      <c r="BT50" s="33"/>
      <c r="BU50" s="34"/>
      <c r="BV50" s="34"/>
      <c r="BW50" s="34"/>
      <c r="BX50" s="34"/>
      <c r="BY50" s="34"/>
      <c r="BZ50" s="34"/>
      <c r="CA50" s="34"/>
      <c r="CB50" s="34"/>
      <c r="CC50" s="34"/>
      <c r="CD50" s="34"/>
      <c r="CE50" s="34"/>
      <c r="CF50" s="34"/>
      <c r="CG50" s="34"/>
      <c r="CH50" s="34"/>
    </row>
    <row r="51" spans="70:86" x14ac:dyDescent="0.3">
      <c r="BR51" s="33"/>
      <c r="BS51" s="33"/>
      <c r="BT51" s="33"/>
      <c r="BU51" s="35"/>
      <c r="BV51" s="35"/>
      <c r="BW51" s="35"/>
      <c r="BX51" s="35"/>
      <c r="BY51" s="35"/>
      <c r="BZ51" s="35"/>
      <c r="CA51" s="35"/>
      <c r="CB51" s="35"/>
      <c r="CC51" s="35"/>
      <c r="CD51" s="35"/>
      <c r="CE51" s="35"/>
      <c r="CF51" s="35"/>
      <c r="CG51" s="35"/>
      <c r="CH51" s="35"/>
    </row>
    <row r="52" spans="70:86" x14ac:dyDescent="0.3">
      <c r="BR52" s="33"/>
      <c r="BS52" s="33"/>
      <c r="BT52" s="33"/>
      <c r="BU52" s="35"/>
      <c r="BV52" s="35"/>
      <c r="BW52" s="35"/>
      <c r="BX52" s="35"/>
      <c r="BY52" s="35"/>
      <c r="BZ52" s="35"/>
      <c r="CA52" s="35"/>
      <c r="CB52" s="35"/>
      <c r="CC52" s="35"/>
      <c r="CD52" s="35"/>
      <c r="CE52" s="35"/>
      <c r="CF52" s="35"/>
      <c r="CG52" s="35"/>
      <c r="CH52" s="35"/>
    </row>
    <row r="53" spans="70:86" x14ac:dyDescent="0.3">
      <c r="BR53" s="33"/>
      <c r="BS53" s="33"/>
      <c r="BT53" s="33"/>
      <c r="BU53" s="34"/>
      <c r="BV53" s="34"/>
      <c r="BW53" s="34"/>
      <c r="BX53" s="34"/>
      <c r="BY53" s="34"/>
      <c r="BZ53" s="34"/>
      <c r="CA53" s="34"/>
      <c r="CB53" s="34"/>
      <c r="CC53" s="34"/>
      <c r="CD53" s="34"/>
      <c r="CE53" s="34"/>
      <c r="CF53" s="34"/>
      <c r="CG53" s="34"/>
      <c r="CH53" s="34"/>
    </row>
    <row r="54" spans="70:86" x14ac:dyDescent="0.3">
      <c r="BR54" s="33"/>
      <c r="BS54" s="33"/>
      <c r="BT54" s="33"/>
      <c r="BU54" s="35"/>
      <c r="BV54" s="35"/>
      <c r="BW54" s="35"/>
      <c r="BX54" s="35"/>
      <c r="BY54" s="35"/>
      <c r="BZ54" s="35"/>
      <c r="CA54" s="35"/>
      <c r="CB54" s="35"/>
      <c r="CC54" s="35"/>
      <c r="CD54" s="35"/>
      <c r="CE54" s="35"/>
      <c r="CF54" s="35"/>
      <c r="CG54" s="35"/>
      <c r="CH54" s="35"/>
    </row>
    <row r="55" spans="70:86" x14ac:dyDescent="0.3">
      <c r="BR55" s="33"/>
      <c r="BS55" s="33"/>
      <c r="BT55" s="33"/>
      <c r="BU55" s="35"/>
      <c r="BV55" s="35"/>
      <c r="BW55" s="35"/>
      <c r="BX55" s="35"/>
      <c r="BY55" s="35"/>
      <c r="BZ55" s="35"/>
      <c r="CA55" s="35"/>
      <c r="CB55" s="35"/>
      <c r="CC55" s="35"/>
      <c r="CD55" s="35"/>
      <c r="CE55" s="35"/>
      <c r="CF55" s="35"/>
      <c r="CG55" s="35"/>
      <c r="CH55" s="35"/>
    </row>
    <row r="56" spans="70:86" x14ac:dyDescent="0.3">
      <c r="BR56" s="33"/>
      <c r="BS56" s="33"/>
      <c r="BT56" s="33"/>
      <c r="BU56" s="34"/>
      <c r="BV56" s="34"/>
      <c r="BW56" s="34"/>
      <c r="BX56" s="34"/>
      <c r="BY56" s="34"/>
      <c r="BZ56" s="34"/>
      <c r="CA56" s="34"/>
      <c r="CB56" s="34"/>
      <c r="CC56" s="34"/>
      <c r="CD56" s="34"/>
      <c r="CE56" s="34"/>
      <c r="CF56" s="34"/>
      <c r="CG56" s="34"/>
      <c r="CH56" s="34"/>
    </row>
    <row r="57" spans="70:86" x14ac:dyDescent="0.3">
      <c r="BR57" s="33"/>
      <c r="BS57" s="33"/>
      <c r="BT57" s="33"/>
      <c r="BU57" s="35"/>
      <c r="BV57" s="35"/>
      <c r="BW57" s="35"/>
      <c r="BX57" s="35"/>
      <c r="BY57" s="35"/>
      <c r="BZ57" s="35"/>
      <c r="CA57" s="35"/>
      <c r="CB57" s="35"/>
      <c r="CC57" s="35"/>
      <c r="CD57" s="35"/>
      <c r="CE57" s="35"/>
      <c r="CF57" s="35"/>
      <c r="CG57" s="35"/>
      <c r="CH57" s="35"/>
    </row>
    <row r="58" spans="70:86" x14ac:dyDescent="0.3">
      <c r="BR58" s="33"/>
      <c r="BS58" s="33"/>
      <c r="BT58" s="33"/>
      <c r="BU58" s="35"/>
      <c r="BV58" s="35"/>
      <c r="BW58" s="35"/>
      <c r="BX58" s="35"/>
      <c r="BY58" s="35"/>
      <c r="BZ58" s="35"/>
      <c r="CA58" s="35"/>
      <c r="CB58" s="35"/>
      <c r="CC58" s="35"/>
      <c r="CD58" s="35"/>
      <c r="CE58" s="35"/>
      <c r="CF58" s="35"/>
      <c r="CG58" s="35"/>
      <c r="CH58" s="35"/>
    </row>
    <row r="59" spans="70:86" x14ac:dyDescent="0.3">
      <c r="BR59" s="33"/>
      <c r="BS59" s="33"/>
      <c r="BT59" s="33"/>
      <c r="BU59" s="34"/>
      <c r="BV59" s="34"/>
      <c r="BW59" s="34"/>
      <c r="BX59" s="34"/>
      <c r="BY59" s="34"/>
      <c r="BZ59" s="34"/>
      <c r="CA59" s="34"/>
      <c r="CB59" s="34"/>
      <c r="CC59" s="34"/>
      <c r="CD59" s="34"/>
      <c r="CE59" s="34"/>
      <c r="CF59" s="34"/>
      <c r="CG59" s="34"/>
      <c r="CH59" s="34"/>
    </row>
    <row r="60" spans="70:86" x14ac:dyDescent="0.3">
      <c r="BR60" s="33"/>
      <c r="BS60" s="33"/>
      <c r="BT60" s="33"/>
      <c r="BU60" s="35"/>
      <c r="BV60" s="35"/>
      <c r="BW60" s="35"/>
      <c r="BX60" s="35"/>
      <c r="BY60" s="35"/>
      <c r="BZ60" s="35"/>
      <c r="CA60" s="35"/>
      <c r="CB60" s="35"/>
      <c r="CC60" s="35"/>
      <c r="CD60" s="35"/>
      <c r="CE60" s="35"/>
      <c r="CF60" s="35"/>
      <c r="CG60" s="35"/>
      <c r="CH60" s="35"/>
    </row>
    <row r="61" spans="70:86" x14ac:dyDescent="0.3">
      <c r="BR61" s="33"/>
      <c r="BS61" s="33"/>
      <c r="BT61" s="33"/>
      <c r="BU61" s="35"/>
      <c r="BV61" s="35"/>
      <c r="BW61" s="35"/>
      <c r="BX61" s="35"/>
      <c r="BY61" s="35"/>
      <c r="BZ61" s="35"/>
      <c r="CA61" s="35"/>
      <c r="CB61" s="35"/>
      <c r="CC61" s="35"/>
      <c r="CD61" s="35"/>
      <c r="CE61" s="35"/>
      <c r="CF61" s="35"/>
      <c r="CG61" s="35"/>
      <c r="CH61" s="35"/>
    </row>
    <row r="62" spans="70:86" x14ac:dyDescent="0.3">
      <c r="BR62" s="33"/>
      <c r="BS62" s="33"/>
      <c r="BT62" s="33"/>
      <c r="BU62" s="34"/>
      <c r="BV62" s="34"/>
      <c r="BW62" s="34"/>
      <c r="BX62" s="34"/>
      <c r="BY62" s="34"/>
      <c r="BZ62" s="34"/>
      <c r="CA62" s="34"/>
      <c r="CB62" s="34"/>
      <c r="CC62" s="34"/>
      <c r="CD62" s="34"/>
      <c r="CE62" s="34"/>
      <c r="CF62" s="34"/>
      <c r="CG62" s="34"/>
      <c r="CH62" s="34"/>
    </row>
    <row r="63" spans="70:86" x14ac:dyDescent="0.3">
      <c r="BR63" s="33"/>
      <c r="BS63" s="33"/>
      <c r="BT63" s="33"/>
      <c r="BU63" s="35"/>
      <c r="BV63" s="35"/>
      <c r="BW63" s="35"/>
      <c r="BX63" s="35"/>
      <c r="BY63" s="35"/>
      <c r="BZ63" s="35"/>
      <c r="CA63" s="35"/>
      <c r="CB63" s="35"/>
      <c r="CC63" s="35"/>
      <c r="CD63" s="35"/>
      <c r="CE63" s="35"/>
      <c r="CF63" s="35"/>
      <c r="CG63" s="35"/>
      <c r="CH63" s="35"/>
    </row>
    <row r="64" spans="70:86" x14ac:dyDescent="0.3">
      <c r="BR64" s="33"/>
      <c r="BS64" s="33"/>
      <c r="BT64" s="33"/>
      <c r="BU64" s="35"/>
      <c r="BV64" s="35"/>
      <c r="BW64" s="35"/>
      <c r="BX64" s="35"/>
      <c r="BY64" s="35"/>
      <c r="BZ64" s="35"/>
      <c r="CA64" s="35"/>
      <c r="CB64" s="35"/>
      <c r="CC64" s="35"/>
      <c r="CD64" s="35"/>
      <c r="CE64" s="35"/>
      <c r="CF64" s="35"/>
      <c r="CG64" s="35"/>
      <c r="CH64" s="35"/>
    </row>
    <row r="65" spans="70:86" x14ac:dyDescent="0.3">
      <c r="BR65" s="33"/>
      <c r="BS65" s="33"/>
      <c r="BT65" s="33"/>
      <c r="BU65" s="34"/>
      <c r="BV65" s="34"/>
      <c r="BW65" s="34"/>
      <c r="BX65" s="34"/>
      <c r="BY65" s="34"/>
      <c r="BZ65" s="34"/>
      <c r="CA65" s="34"/>
      <c r="CB65" s="34"/>
      <c r="CC65" s="34"/>
      <c r="CD65" s="34"/>
      <c r="CE65" s="34"/>
      <c r="CF65" s="34"/>
      <c r="CG65" s="34"/>
      <c r="CH65" s="34"/>
    </row>
    <row r="66" spans="70:86" x14ac:dyDescent="0.3">
      <c r="BR66" s="33"/>
      <c r="BS66" s="33"/>
      <c r="BT66" s="33"/>
      <c r="BU66" s="35"/>
      <c r="BV66" s="35"/>
      <c r="BW66" s="35"/>
      <c r="BX66" s="35"/>
      <c r="BY66" s="35"/>
      <c r="BZ66" s="35"/>
      <c r="CA66" s="35"/>
      <c r="CB66" s="35"/>
      <c r="CC66" s="35"/>
      <c r="CD66" s="35"/>
      <c r="CE66" s="35"/>
      <c r="CF66" s="35"/>
      <c r="CG66" s="35"/>
      <c r="CH66" s="35"/>
    </row>
    <row r="67" spans="70:86" x14ac:dyDescent="0.3">
      <c r="BR67" s="33"/>
      <c r="BS67" s="33"/>
      <c r="BT67" s="33"/>
      <c r="BU67" s="35"/>
      <c r="BV67" s="35"/>
      <c r="BW67" s="35"/>
      <c r="BX67" s="35"/>
      <c r="BY67" s="35"/>
      <c r="BZ67" s="35"/>
      <c r="CA67" s="35"/>
      <c r="CB67" s="35"/>
      <c r="CC67" s="35"/>
      <c r="CD67" s="35"/>
      <c r="CE67" s="35"/>
      <c r="CF67" s="35"/>
      <c r="CG67" s="35"/>
      <c r="CH67" s="35"/>
    </row>
    <row r="68" spans="70:86" x14ac:dyDescent="0.3">
      <c r="BR68" s="33"/>
      <c r="BS68" s="33"/>
      <c r="BT68" s="33"/>
      <c r="BU68" s="34"/>
      <c r="BV68" s="34"/>
      <c r="BW68" s="34"/>
      <c r="BX68" s="34"/>
      <c r="BY68" s="34"/>
      <c r="BZ68" s="34"/>
      <c r="CA68" s="34"/>
      <c r="CB68" s="34"/>
      <c r="CC68" s="34"/>
      <c r="CD68" s="34"/>
      <c r="CE68" s="34"/>
      <c r="CF68" s="34"/>
      <c r="CG68" s="34"/>
      <c r="CH68" s="34"/>
    </row>
    <row r="69" spans="70:86" x14ac:dyDescent="0.3">
      <c r="BR69" s="33"/>
      <c r="BS69" s="33"/>
      <c r="BT69" s="33"/>
      <c r="BU69" s="35"/>
      <c r="BV69" s="35"/>
      <c r="BW69" s="35"/>
      <c r="BX69" s="35"/>
      <c r="BY69" s="35"/>
      <c r="BZ69" s="35"/>
      <c r="CA69" s="35"/>
      <c r="CB69" s="35"/>
      <c r="CC69" s="35"/>
      <c r="CD69" s="35"/>
      <c r="CE69" s="35"/>
      <c r="CF69" s="35"/>
      <c r="CG69" s="35"/>
      <c r="CH69" s="35"/>
    </row>
    <row r="70" spans="70:86" x14ac:dyDescent="0.3">
      <c r="BR70" s="33"/>
      <c r="BS70" s="33"/>
      <c r="BT70" s="33"/>
      <c r="BU70" s="35"/>
      <c r="BV70" s="35"/>
      <c r="BW70" s="35"/>
      <c r="BX70" s="35"/>
      <c r="BY70" s="35"/>
      <c r="BZ70" s="35"/>
      <c r="CA70" s="35"/>
      <c r="CB70" s="35"/>
      <c r="CC70" s="35"/>
      <c r="CD70" s="35"/>
      <c r="CE70" s="35"/>
      <c r="CF70" s="35"/>
      <c r="CG70" s="35"/>
      <c r="CH70" s="35"/>
    </row>
    <row r="71" spans="70:86" x14ac:dyDescent="0.3">
      <c r="BR71" s="33"/>
      <c r="BS71" s="33"/>
      <c r="BT71" s="33"/>
      <c r="BU71" s="34"/>
      <c r="BV71" s="34"/>
      <c r="BW71" s="34"/>
      <c r="BX71" s="34"/>
      <c r="BY71" s="34"/>
      <c r="BZ71" s="34"/>
      <c r="CA71" s="34"/>
      <c r="CB71" s="34"/>
      <c r="CC71" s="34"/>
      <c r="CD71" s="34"/>
      <c r="CE71" s="34"/>
      <c r="CF71" s="34"/>
      <c r="CG71" s="34"/>
      <c r="CH71" s="34"/>
    </row>
    <row r="72" spans="70:86" x14ac:dyDescent="0.3">
      <c r="BR72" s="33"/>
      <c r="BS72" s="33"/>
      <c r="BT72" s="33"/>
      <c r="BU72" s="35"/>
      <c r="BV72" s="35"/>
      <c r="BW72" s="35"/>
      <c r="BX72" s="35"/>
      <c r="BY72" s="35"/>
      <c r="BZ72" s="35"/>
      <c r="CA72" s="35"/>
      <c r="CB72" s="35"/>
      <c r="CC72" s="35"/>
      <c r="CD72" s="35"/>
      <c r="CE72" s="35"/>
      <c r="CF72" s="35"/>
      <c r="CG72" s="35"/>
      <c r="CH72" s="35"/>
    </row>
    <row r="73" spans="70:86" x14ac:dyDescent="0.3">
      <c r="BR73" s="33"/>
      <c r="BS73" s="33"/>
      <c r="BT73" s="33"/>
      <c r="BU73" s="35"/>
      <c r="BV73" s="35"/>
      <c r="BW73" s="35"/>
      <c r="BX73" s="35"/>
      <c r="BY73" s="35"/>
      <c r="BZ73" s="35"/>
      <c r="CA73" s="35"/>
      <c r="CB73" s="35"/>
      <c r="CC73" s="35"/>
      <c r="CD73" s="35"/>
      <c r="CE73" s="35"/>
      <c r="CF73" s="35"/>
      <c r="CG73" s="35"/>
      <c r="CH73" s="35"/>
    </row>
    <row r="74" spans="70:86" x14ac:dyDescent="0.3">
      <c r="BR74" s="33"/>
      <c r="BS74" s="33"/>
      <c r="BT74" s="33"/>
      <c r="BU74" s="34"/>
      <c r="BV74" s="34"/>
      <c r="BW74" s="34"/>
      <c r="BX74" s="34"/>
      <c r="BY74" s="34"/>
      <c r="BZ74" s="34"/>
      <c r="CA74" s="34"/>
      <c r="CB74" s="34"/>
      <c r="CC74" s="34"/>
      <c r="CD74" s="34"/>
      <c r="CE74" s="34"/>
      <c r="CF74" s="34"/>
      <c r="CG74" s="34"/>
      <c r="CH74" s="34"/>
    </row>
    <row r="75" spans="70:86" x14ac:dyDescent="0.3">
      <c r="BR75" s="33"/>
      <c r="BS75" s="33"/>
      <c r="BT75" s="33"/>
      <c r="BU75" s="35"/>
      <c r="BV75" s="35"/>
      <c r="BW75" s="35"/>
      <c r="BX75" s="35"/>
      <c r="BY75" s="35"/>
      <c r="BZ75" s="35"/>
      <c r="CA75" s="35"/>
      <c r="CB75" s="35"/>
      <c r="CC75" s="35"/>
      <c r="CD75" s="35"/>
      <c r="CE75" s="35"/>
      <c r="CF75" s="35"/>
      <c r="CG75" s="35"/>
      <c r="CH75" s="35"/>
    </row>
    <row r="76" spans="70:86" x14ac:dyDescent="0.3">
      <c r="BR76" s="33"/>
      <c r="BS76" s="33"/>
      <c r="BT76" s="33"/>
      <c r="BU76" s="35"/>
      <c r="BV76" s="35"/>
      <c r="BW76" s="35"/>
      <c r="BX76" s="35"/>
      <c r="BY76" s="35"/>
      <c r="BZ76" s="35"/>
      <c r="CA76" s="35"/>
      <c r="CB76" s="35"/>
      <c r="CC76" s="35"/>
      <c r="CD76" s="35"/>
      <c r="CE76" s="35"/>
      <c r="CF76" s="35"/>
      <c r="CG76" s="35"/>
      <c r="CH76" s="35"/>
    </row>
    <row r="77" spans="70:86" x14ac:dyDescent="0.3">
      <c r="BR77" s="33"/>
      <c r="BS77" s="33"/>
      <c r="BT77" s="33"/>
      <c r="BU77" s="34"/>
      <c r="BV77" s="34"/>
      <c r="BW77" s="34"/>
      <c r="BX77" s="34"/>
      <c r="BY77" s="34"/>
      <c r="BZ77" s="34"/>
      <c r="CA77" s="34"/>
      <c r="CB77" s="34"/>
      <c r="CC77" s="34"/>
      <c r="CD77" s="34"/>
      <c r="CE77" s="34"/>
      <c r="CF77" s="34"/>
      <c r="CG77" s="34"/>
      <c r="CH77" s="34"/>
    </row>
    <row r="78" spans="70:86" x14ac:dyDescent="0.3">
      <c r="BR78" s="33"/>
      <c r="BS78" s="33"/>
      <c r="BT78" s="33"/>
      <c r="BU78" s="35"/>
      <c r="BV78" s="35"/>
      <c r="BW78" s="35"/>
      <c r="BX78" s="35"/>
      <c r="BY78" s="35"/>
      <c r="BZ78" s="35"/>
      <c r="CA78" s="35"/>
      <c r="CB78" s="35"/>
      <c r="CC78" s="35"/>
      <c r="CD78" s="35"/>
      <c r="CE78" s="35"/>
      <c r="CF78" s="35"/>
      <c r="CG78" s="35"/>
      <c r="CH78" s="35"/>
    </row>
    <row r="79" spans="70:86" x14ac:dyDescent="0.3">
      <c r="BR79" s="33"/>
      <c r="BS79" s="33"/>
      <c r="BT79" s="33"/>
      <c r="BU79" s="35"/>
      <c r="BV79" s="35"/>
      <c r="BW79" s="35"/>
      <c r="BX79" s="35"/>
      <c r="BY79" s="35"/>
      <c r="BZ79" s="35"/>
      <c r="CA79" s="35"/>
      <c r="CB79" s="35"/>
      <c r="CC79" s="35"/>
      <c r="CD79" s="35"/>
      <c r="CE79" s="35"/>
      <c r="CF79" s="35"/>
      <c r="CG79" s="35"/>
      <c r="CH79" s="35"/>
    </row>
  </sheetData>
  <phoneticPr fontId="6" type="noConversion"/>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3a4543a0-6766-456e-a2ee-4414459d9a0a">
      <Terms xmlns="http://schemas.microsoft.com/office/infopath/2007/PartnerControls"/>
    </lcf76f155ced4ddcb4097134ff3c332f>
    <TaxCatchAll xmlns="af7b454b-5578-4b92-ad2d-05626e091018" xsi:nil="true"/>
  </documentManagement>
</p:properties>
</file>

<file path=customXml/item6.xml><?xml version="1.0" encoding="utf-8"?>
<ct:contentTypeSchema xmlns:ct="http://schemas.microsoft.com/office/2006/metadata/contentType" xmlns:ma="http://schemas.microsoft.com/office/2006/metadata/properties/metaAttributes" ct:_="" ma:_="" ma:contentTypeName="Document" ma:contentTypeID="0x0101008924553EA454694B8CD2AA52A00C529E" ma:contentTypeVersion="18" ma:contentTypeDescription="Create a new document." ma:contentTypeScope="" ma:versionID="8b33c38a0e226c53622aeb70fe150581">
  <xsd:schema xmlns:xsd="http://www.w3.org/2001/XMLSchema" xmlns:xs="http://www.w3.org/2001/XMLSchema" xmlns:p="http://schemas.microsoft.com/office/2006/metadata/properties" xmlns:ns2="3a4543a0-6766-456e-a2ee-4414459d9a0a" xmlns:ns3="af7b454b-5578-4b92-ad2d-05626e091018" targetNamespace="http://schemas.microsoft.com/office/2006/metadata/properties" ma:root="true" ma:fieldsID="58f030107127aa6bb1f50f09fa2b205f" ns2:_="" ns3:_="">
    <xsd:import namespace="3a4543a0-6766-456e-a2ee-4414459d9a0a"/>
    <xsd:import namespace="af7b454b-5578-4b92-ad2d-05626e0910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543a0-6766-456e-a2ee-4414459d9a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6d2e6d8-cbd0-4db0-ba36-afbb08a2ca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7b454b-5578-4b92-ad2d-05626e0910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c5b07f2-ba60-4e2c-beaf-204d65fe82c0}" ma:internalName="TaxCatchAll" ma:showField="CatchAllData" ma:web="af7b454b-5578-4b92-ad2d-05626e0910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46C2E374-8DDA-4DBC-BFE1-7186C2E07080}">
  <ds:schemaRefs/>
</ds:datastoreItem>
</file>

<file path=customXml/itemProps2.xml><?xml version="1.0" encoding="utf-8"?>
<ds:datastoreItem xmlns:ds="http://schemas.openxmlformats.org/officeDocument/2006/customXml" ds:itemID="{85CE157D-7CA6-4966-93DD-0FC876C9626B}">
  <ds:schemaRefs>
    <ds:schemaRef ds:uri="http://www.w3.org/2001/XMLSchema"/>
    <ds:schemaRef ds:uri="http://microsoft.data.visualization.Client.Excel.CustomRegionState/1.0"/>
  </ds:schemaRefs>
</ds:datastoreItem>
</file>

<file path=customXml/itemProps3.xml><?xml version="1.0" encoding="utf-8"?>
<ds:datastoreItem xmlns:ds="http://schemas.openxmlformats.org/officeDocument/2006/customXml" ds:itemID="{A36FEFDD-2BF4-4E5B-8F1D-A4FBD7746903}">
  <ds:schemaRefs>
    <ds:schemaRef ds:uri="http://schemas.microsoft.com/sharepoint/v3/contenttype/forms"/>
  </ds:schemaRefs>
</ds:datastoreItem>
</file>

<file path=customXml/itemProps4.xml><?xml version="1.0" encoding="utf-8"?>
<ds:datastoreItem xmlns:ds="http://schemas.openxmlformats.org/officeDocument/2006/customXml" ds:itemID="{80836D15-58DA-4779-841E-D8DA91CDEAAB}">
  <ds:schemaRefs>
    <ds:schemaRef ds:uri="http://schemas.microsoft.com/DataMashup"/>
  </ds:schemaRefs>
</ds:datastoreItem>
</file>

<file path=customXml/itemProps5.xml><?xml version="1.0" encoding="utf-8"?>
<ds:datastoreItem xmlns:ds="http://schemas.openxmlformats.org/officeDocument/2006/customXml" ds:itemID="{0A8AAEAD-1F9A-47B0-BF64-D2CE97E18C69}">
  <ds:schemaRefs>
    <ds:schemaRef ds:uri="af7b454b-5578-4b92-ad2d-05626e091018"/>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 ds:uri="3a4543a0-6766-456e-a2ee-4414459d9a0a"/>
  </ds:schemaRefs>
</ds:datastoreItem>
</file>

<file path=customXml/itemProps6.xml><?xml version="1.0" encoding="utf-8"?>
<ds:datastoreItem xmlns:ds="http://schemas.openxmlformats.org/officeDocument/2006/customXml" ds:itemID="{3616BD3B-9197-412F-9F90-5ED862B7C3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4543a0-6766-456e-a2ee-4414459d9a0a"/>
    <ds:schemaRef ds:uri="af7b454b-5578-4b92-ad2d-05626e091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B6BD6FC7-12B6-412D-9F7B-B0E3F0D10A87}">
  <ds:schemaRefs/>
</ds:datastoreItem>
</file>

<file path=customXml/itemProps8.xml><?xml version="1.0" encoding="utf-8"?>
<ds:datastoreItem xmlns:ds="http://schemas.openxmlformats.org/officeDocument/2006/customXml" ds:itemID="{0D002901-CEF2-4820-BF8C-A99BD5A7090B}">
  <ds:schemaRefs>
    <ds:schemaRef ds:uri="http://www.w3.org/2001/XMLSchema"/>
    <ds:schemaRef ds:uri="http://microsoft.data.visualization.Client.Excel/1.0"/>
  </ds:schemaRefs>
</ds:datastoreItem>
</file>

<file path=customXml/itemProps9.xml><?xml version="1.0" encoding="utf-8"?>
<ds:datastoreItem xmlns:ds="http://schemas.openxmlformats.org/officeDocument/2006/customXml" ds:itemID="{7549034D-E98D-445D-9E5C-716F6AFF9271}">
  <ds:schemaRefs>
    <ds:schemaRef ds:uri="http://www.w3.org/2001/XMLSchema"/>
    <ds:schemaRef ds:uri="http://microsoft.data.visualization.engine.tours/1.0"/>
  </ds:schemaRefs>
</ds:datastoreItem>
</file>

<file path=customXml/itemProps10.xml><?xml version="1.0" encoding="utf-8"?>
<ds:datastoreItem xmlns:ds="http://schemas.openxmlformats.org/officeDocument/2006/customXml" ds:itemID="{DEBB2926-D6B7-4F53-A1E4-8F6B8C0D4B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ASH Public Opinion Briefings</vt:lpstr>
      <vt:lpstr>'ASH Public Opinion Briefings'!Print_Area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laura.bunce@ash.org.uk</dc:creator>
  <cp:lastModifiedBy>Laura Bunce</cp:lastModifiedBy>
  <cp:revision/>
  <cp:lastPrinted>2024-10-14T10:10:30Z</cp:lastPrinted>
  <dcterms:created xsi:type="dcterms:W3CDTF">2020-09-07T23:51:57Z</dcterms:created>
  <dcterms:modified xsi:type="dcterms:W3CDTF">2024-10-23T13:34:08Z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0x0101008924553EA454694B8CD2AA52A00C529E</vt:lpwstr>
  </property>
  <property fmtid="{D5CDD505-2E9C-101B-9397-08002B2CF9AE}" pid="3" name="Order">
    <vt:r8>8304200</vt:r8>
  </property>
  <property fmtid="{D5CDD505-2E9C-101B-9397-08002B2CF9AE}" pid="4" name="MediaServiceImageTags">
    <vt:lpwstr/>
  </property>
</Properties>
</file>